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gs\OneDrive\Desktop\ReutlingenS2\Jahresprojekt\Doku\Präsentationen und Dokumente\Final\"/>
    </mc:Choice>
  </mc:AlternateContent>
  <xr:revisionPtr revIDLastSave="0" documentId="13_ncr:1_{04D28A79-6981-41A4-9AAE-3C20033DD064}" xr6:coauthVersionLast="45" xr6:coauthVersionMax="45" xr10:uidLastSave="{00000000-0000-0000-0000-000000000000}"/>
  <bookViews>
    <workbookView xWindow="-28920" yWindow="-120" windowWidth="29040" windowHeight="15840" activeTab="8" xr2:uid="{E5864449-0366-448C-8EA7-CE6BCFF73B3F}"/>
  </bookViews>
  <sheets>
    <sheet name="Kosten" sheetId="10" r:id="rId1"/>
    <sheet name="Kosten Szenario 1" sheetId="1" r:id="rId2"/>
    <sheet name="Kosten Szenario 2" sheetId="6" r:id="rId3"/>
    <sheet name="Kosten Szenario 3" sheetId="7" r:id="rId4"/>
    <sheet name="Kosten Szenario 4" sheetId="8" r:id="rId5"/>
    <sheet name="Kosten Szenario 5" sheetId="9" r:id="rId6"/>
    <sheet name="Kunden" sheetId="3" r:id="rId7"/>
    <sheet name="API-Aufrufe" sheetId="4" r:id="rId8"/>
    <sheet name="Preis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8" i="2"/>
  <c r="B13" i="2"/>
  <c r="H10" i="2"/>
  <c r="E4" i="2" l="1"/>
  <c r="E5" i="2"/>
  <c r="E6" i="2"/>
  <c r="B24" i="10"/>
  <c r="R15" i="10" s="1"/>
  <c r="G23" i="10"/>
  <c r="G28" i="10" s="1"/>
  <c r="R13" i="10" s="1"/>
  <c r="G20" i="10"/>
  <c r="G26" i="10" s="1"/>
  <c r="M13" i="10" s="1"/>
  <c r="B4" i="10"/>
  <c r="B5" i="10" s="1"/>
  <c r="E84" i="2"/>
  <c r="E86" i="2"/>
  <c r="E85" i="2"/>
  <c r="E65" i="2"/>
  <c r="G28" i="9"/>
  <c r="R13" i="9" s="1"/>
  <c r="G26" i="9"/>
  <c r="M13" i="9" s="1"/>
  <c r="B24" i="9"/>
  <c r="M15" i="9" s="1"/>
  <c r="G23" i="9"/>
  <c r="G20" i="9"/>
  <c r="B24" i="8"/>
  <c r="M15" i="8" s="1"/>
  <c r="G23" i="8"/>
  <c r="G28" i="8" s="1"/>
  <c r="R13" i="8" s="1"/>
  <c r="G20" i="8"/>
  <c r="G26" i="8" s="1"/>
  <c r="M13" i="8" s="1"/>
  <c r="R15" i="8"/>
  <c r="E66" i="2"/>
  <c r="E64" i="2"/>
  <c r="B24" i="7"/>
  <c r="R15" i="7" s="1"/>
  <c r="G23" i="7"/>
  <c r="G28" i="7" s="1"/>
  <c r="R13" i="7" s="1"/>
  <c r="G20" i="7"/>
  <c r="G26" i="7" s="1"/>
  <c r="M13" i="7" s="1"/>
  <c r="B24" i="6"/>
  <c r="R15" i="6" s="1"/>
  <c r="G23" i="6"/>
  <c r="G28" i="6" s="1"/>
  <c r="R13" i="6" s="1"/>
  <c r="G20" i="6"/>
  <c r="G26" i="6" s="1"/>
  <c r="M13" i="6" s="1"/>
  <c r="B3" i="1" l="1"/>
  <c r="B10" i="2"/>
  <c r="M6" i="10"/>
  <c r="R14" i="10" s="1"/>
  <c r="H4" i="2"/>
  <c r="B3" i="9"/>
  <c r="B3" i="8"/>
  <c r="R15" i="9"/>
  <c r="B8" i="10"/>
  <c r="B9" i="10" s="1"/>
  <c r="G6" i="10"/>
  <c r="B12" i="10"/>
  <c r="B14" i="10" s="1"/>
  <c r="B16" i="10" s="1"/>
  <c r="G14" i="10" s="1"/>
  <c r="M15" i="10"/>
  <c r="M15" i="7"/>
  <c r="M15" i="6"/>
  <c r="E46" i="2"/>
  <c r="E45" i="2"/>
  <c r="E44" i="2"/>
  <c r="E24" i="2"/>
  <c r="E26" i="2"/>
  <c r="E25" i="2"/>
  <c r="C11" i="4"/>
  <c r="B13" i="4"/>
  <c r="M14" i="10" l="1"/>
  <c r="B3" i="6"/>
  <c r="B4" i="6" s="1"/>
  <c r="B3" i="7"/>
  <c r="B4" i="7" s="1"/>
  <c r="B50" i="2"/>
  <c r="B4" i="1"/>
  <c r="B4" i="9"/>
  <c r="B4" i="8"/>
  <c r="B90" i="2"/>
  <c r="B70" i="2"/>
  <c r="R12" i="10"/>
  <c r="M12" i="10"/>
  <c r="R11" i="10"/>
  <c r="M11" i="10"/>
  <c r="B30" i="2"/>
  <c r="M17" i="10" l="1"/>
  <c r="H3" i="2" s="1"/>
  <c r="H7" i="2" s="1"/>
  <c r="R17" i="10"/>
  <c r="B12" i="6"/>
  <c r="B14" i="6" s="1"/>
  <c r="B16" i="6" s="1"/>
  <c r="B5" i="6"/>
  <c r="M6" i="6"/>
  <c r="B8" i="6"/>
  <c r="B9" i="6" s="1"/>
  <c r="B8" i="7"/>
  <c r="B9" i="7" s="1"/>
  <c r="B12" i="7"/>
  <c r="B14" i="7" s="1"/>
  <c r="B16" i="7" s="1"/>
  <c r="M6" i="7"/>
  <c r="B5" i="7"/>
  <c r="B5" i="8"/>
  <c r="M6" i="8"/>
  <c r="B8" i="8"/>
  <c r="B9" i="8" s="1"/>
  <c r="B12" i="8"/>
  <c r="B14" i="8" s="1"/>
  <c r="B16" i="8" s="1"/>
  <c r="B12" i="9"/>
  <c r="B14" i="9" s="1"/>
  <c r="B16" i="9" s="1"/>
  <c r="B8" i="9"/>
  <c r="B9" i="9" s="1"/>
  <c r="B5" i="9"/>
  <c r="M6" i="9"/>
  <c r="B15" i="4"/>
  <c r="C15" i="4" s="1"/>
  <c r="D15" i="4" s="1"/>
  <c r="B14" i="4"/>
  <c r="B12" i="4"/>
  <c r="B11" i="4"/>
  <c r="D11" i="4" s="1"/>
  <c r="B7" i="4"/>
  <c r="C7" i="4" s="1"/>
  <c r="D7" i="4" s="1"/>
  <c r="B6" i="4"/>
  <c r="C6" i="4" s="1"/>
  <c r="D6" i="4" s="1"/>
  <c r="B5" i="4"/>
  <c r="C5" i="4" s="1"/>
  <c r="D5" i="4" s="1"/>
  <c r="B4" i="4"/>
  <c r="C4" i="4" s="1"/>
  <c r="D4" i="4" s="1"/>
  <c r="B3" i="4"/>
  <c r="H6" i="2" l="1"/>
  <c r="R14" i="8"/>
  <c r="M14" i="8"/>
  <c r="G6" i="6"/>
  <c r="G14" i="6"/>
  <c r="R14" i="9"/>
  <c r="M14" i="9"/>
  <c r="G14" i="7"/>
  <c r="G6" i="7"/>
  <c r="G14" i="9"/>
  <c r="G6" i="9"/>
  <c r="R14" i="7"/>
  <c r="M14" i="7"/>
  <c r="G14" i="8"/>
  <c r="G6" i="8"/>
  <c r="R14" i="6"/>
  <c r="M14" i="6"/>
  <c r="C14" i="4"/>
  <c r="D14" i="4" s="1"/>
  <c r="C13" i="4"/>
  <c r="D13" i="4" s="1"/>
  <c r="C12" i="4"/>
  <c r="D12" i="4" s="1"/>
  <c r="M11" i="7" l="1"/>
  <c r="R11" i="7"/>
  <c r="R11" i="8"/>
  <c r="M11" i="8"/>
  <c r="R11" i="6"/>
  <c r="M11" i="6"/>
  <c r="M12" i="7"/>
  <c r="R12" i="7"/>
  <c r="M12" i="8"/>
  <c r="R12" i="8"/>
  <c r="M12" i="6"/>
  <c r="R12" i="6"/>
  <c r="R11" i="9"/>
  <c r="M11" i="9"/>
  <c r="R12" i="9"/>
  <c r="M12" i="9"/>
  <c r="C3" i="4"/>
  <c r="D3" i="4" s="1"/>
  <c r="H12" i="2" l="1"/>
  <c r="H11" i="2"/>
  <c r="H14" i="2" s="1"/>
  <c r="R17" i="8"/>
  <c r="R17" i="6"/>
  <c r="M17" i="6"/>
  <c r="B23" i="2" s="1"/>
  <c r="R17" i="9"/>
  <c r="M17" i="7"/>
  <c r="M17" i="9"/>
  <c r="M17" i="8"/>
  <c r="R17" i="7"/>
  <c r="B43" i="2" s="1"/>
  <c r="G20" i="1"/>
  <c r="B24" i="1"/>
  <c r="M6" i="1"/>
  <c r="B83" i="2" l="1"/>
  <c r="B92" i="2" s="1"/>
  <c r="B63" i="2"/>
  <c r="B71" i="2" s="1"/>
  <c r="M15" i="1"/>
  <c r="R15" i="1"/>
  <c r="M14" i="1"/>
  <c r="R14" i="1"/>
  <c r="G23" i="1"/>
  <c r="G28" i="1" s="1"/>
  <c r="R13" i="1" s="1"/>
  <c r="G26" i="1"/>
  <c r="M13" i="1" s="1"/>
  <c r="B5" i="1"/>
  <c r="B75" i="2" l="1"/>
  <c r="B77" i="2" s="1"/>
  <c r="B73" i="2"/>
  <c r="B91" i="2"/>
  <c r="B72" i="2"/>
  <c r="B12" i="1"/>
  <c r="B8" i="1"/>
  <c r="B76" i="2" l="1"/>
  <c r="B79" i="2" s="1"/>
  <c r="B78" i="2"/>
  <c r="B95" i="2"/>
  <c r="B97" i="2" s="1"/>
  <c r="B93" i="2"/>
  <c r="B14" i="1"/>
  <c r="B16" i="1" s="1"/>
  <c r="G14" i="1" s="1"/>
  <c r="B9" i="1"/>
  <c r="B98" i="2" l="1"/>
  <c r="B96" i="2"/>
  <c r="B99" i="2" s="1"/>
  <c r="M12" i="1"/>
  <c r="R12" i="1"/>
  <c r="G6" i="1"/>
  <c r="R11" i="1" l="1"/>
  <c r="R17" i="1" s="1"/>
  <c r="M11" i="1"/>
  <c r="M17" i="1" s="1"/>
  <c r="B3" i="2" s="1"/>
  <c r="B12" i="2" l="1"/>
  <c r="B11" i="2" l="1"/>
  <c r="B15" i="2" s="1"/>
  <c r="B17" i="2" s="1"/>
  <c r="B18" i="2" s="1"/>
  <c r="B31" i="2"/>
  <c r="B32" i="2"/>
  <c r="B52" i="2"/>
  <c r="B51" i="2"/>
  <c r="B55" i="2" l="1"/>
  <c r="B57" i="2" s="1"/>
  <c r="B53" i="2"/>
  <c r="B35" i="2"/>
  <c r="B37" i="2" s="1"/>
  <c r="B38" i="2" s="1"/>
  <c r="B33" i="2"/>
  <c r="B56" i="2" l="1"/>
  <c r="B59" i="2" s="1"/>
  <c r="B58" i="2"/>
  <c r="B36" i="2"/>
  <c r="B39" i="2" s="1"/>
  <c r="B16" i="2"/>
  <c r="B19" i="2" s="1"/>
</calcChain>
</file>

<file path=xl/sharedStrings.xml><?xml version="1.0" encoding="utf-8"?>
<sst xmlns="http://schemas.openxmlformats.org/spreadsheetml/2006/main" count="702" uniqueCount="118">
  <si>
    <t>Amazon API Gateway</t>
  </si>
  <si>
    <t>USD</t>
  </si>
  <si>
    <t>Preis pro GB Datenübertragung</t>
  </si>
  <si>
    <t>Monatliche Gesamtkosten
 für Amazon API Gateway</t>
  </si>
  <si>
    <t>Amazon Lambda</t>
  </si>
  <si>
    <t xml:space="preserve">Monatliche Gesamtkosten </t>
  </si>
  <si>
    <t>Preis Datenverarbeitung pro GBs</t>
  </si>
  <si>
    <t>Amazon RDS MySQL</t>
  </si>
  <si>
    <t>Monatlicher Preis (730h)</t>
  </si>
  <si>
    <t>Preis pro GB Storage pro Monat</t>
  </si>
  <si>
    <t>Monatliche Gesamtkosten</t>
  </si>
  <si>
    <t>Amazon S3 Standard - Simple Storage Service</t>
  </si>
  <si>
    <t>Speicherpreis pro GB/Monat</t>
  </si>
  <si>
    <t>Datenbank Speicher in GB</t>
  </si>
  <si>
    <t>Amazon S3 Speicher in GB</t>
  </si>
  <si>
    <t>Amazon S3 Standard</t>
  </si>
  <si>
    <t>Durchführungsdauer Code 
in ms</t>
  </si>
  <si>
    <t>Datengröße bei Übertragung (kB)</t>
  </si>
  <si>
    <t>Eingabe</t>
  </si>
  <si>
    <t>GeoDBCities Monat</t>
  </si>
  <si>
    <t>Numbeo Monat</t>
  </si>
  <si>
    <t>Durchschnitt pro Monat</t>
  </si>
  <si>
    <t>Wechselkurs</t>
  </si>
  <si>
    <t>1 USD</t>
  </si>
  <si>
    <t>EUR</t>
  </si>
  <si>
    <r>
      <t xml:space="preserve">Preis pro Instanz/h </t>
    </r>
    <r>
      <rPr>
        <b/>
        <sz val="9"/>
        <color theme="1"/>
        <rFont val="Calibri"/>
        <family val="2"/>
        <scheme val="minor"/>
      </rPr>
      <t>db.t3.medium</t>
    </r>
    <r>
      <rPr>
        <sz val="9"/>
        <color theme="1"/>
        <rFont val="Calibri"/>
        <family val="2"/>
        <scheme val="minor"/>
      </rPr>
      <t xml:space="preserve"> 
4 GB Memory, 2 vCPUs</t>
    </r>
  </si>
  <si>
    <r>
      <t xml:space="preserve">Preis pro Instanz/h </t>
    </r>
    <r>
      <rPr>
        <b/>
        <sz val="9"/>
        <color theme="1"/>
        <rFont val="Calibri"/>
        <family val="2"/>
        <scheme val="minor"/>
      </rPr>
      <t>db.t3.large</t>
    </r>
    <r>
      <rPr>
        <sz val="9"/>
        <color theme="1"/>
        <rFont val="Calibri"/>
        <family val="2"/>
        <scheme val="minor"/>
      </rPr>
      <t xml:space="preserve"> 
8 GB Memory, 2 vCPUs</t>
    </r>
  </si>
  <si>
    <r>
      <t xml:space="preserve">Monatliche Gesamtkosten </t>
    </r>
    <r>
      <rPr>
        <b/>
        <sz val="9"/>
        <color theme="1"/>
        <rFont val="Calibri"/>
        <family val="2"/>
        <scheme val="minor"/>
      </rPr>
      <t>medium</t>
    </r>
  </si>
  <si>
    <r>
      <t xml:space="preserve">Monatliche Gesamtkosten </t>
    </r>
    <r>
      <rPr>
        <b/>
        <sz val="9"/>
        <color theme="1"/>
        <rFont val="Calibri"/>
        <family val="2"/>
        <scheme val="minor"/>
      </rPr>
      <t>large</t>
    </r>
  </si>
  <si>
    <t>Annahmen</t>
  </si>
  <si>
    <t>DB-Instanz:</t>
  </si>
  <si>
    <t>db.t3.medium</t>
  </si>
  <si>
    <t>Monatliche Kosten in €</t>
  </si>
  <si>
    <t>Nutzung von Discoveroo in %</t>
  </si>
  <si>
    <t>Gesamtzugriffe Discoveroo</t>
  </si>
  <si>
    <t>Preis pro 1000 Calls (€)</t>
  </si>
  <si>
    <t>Preis pro 1000 Calls (€-Cent)</t>
  </si>
  <si>
    <t>Total Visits in 3 Monaten</t>
  </si>
  <si>
    <t>Unique Visits in 3 Monaten</t>
  </si>
  <si>
    <t>Reisen.de</t>
  </si>
  <si>
    <t>DER</t>
  </si>
  <si>
    <t>Nix-wie-weg</t>
  </si>
  <si>
    <t>1-2-Fly.com</t>
  </si>
  <si>
    <t>aldi-reisen</t>
  </si>
  <si>
    <t>Alltours</t>
  </si>
  <si>
    <t>weg.de</t>
  </si>
  <si>
    <t>Lastminute.de</t>
  </si>
  <si>
    <t>Momondo</t>
  </si>
  <si>
    <t>swoodoo</t>
  </si>
  <si>
    <t>Sonnenklar.tv</t>
  </si>
  <si>
    <t>ab-in-den-urlaub</t>
  </si>
  <si>
    <t>SecretEscapes</t>
  </si>
  <si>
    <t>Flixbus</t>
  </si>
  <si>
    <t>Opodo</t>
  </si>
  <si>
    <t>Trivago</t>
  </si>
  <si>
    <t>urlaub.check24.de</t>
  </si>
  <si>
    <t>Expedia</t>
  </si>
  <si>
    <t>TUI</t>
  </si>
  <si>
    <t>Skyscanner</t>
  </si>
  <si>
    <t>Airbnb</t>
  </si>
  <si>
    <t>holidaycheck</t>
  </si>
  <si>
    <t>booking.com</t>
  </si>
  <si>
    <t>Unique Visits</t>
  </si>
  <si>
    <t>Grundlage</t>
  </si>
  <si>
    <t>Discoveroo Featureaufrufe gesamt*</t>
  </si>
  <si>
    <t>Gerundet</t>
  </si>
  <si>
    <t>Durchschnitt gesamt</t>
  </si>
  <si>
    <t>Durchschnitt über 1.000.000</t>
  </si>
  <si>
    <t>Durchschnitt unter 300.000</t>
  </si>
  <si>
    <t>Total Visits</t>
  </si>
  <si>
    <t>Durchschnitt über 5.000.000</t>
  </si>
  <si>
    <t>Durchschnitt unter 1.000.000</t>
  </si>
  <si>
    <t xml:space="preserve">*wenn 2% der Endkunden Discoveroo nutzen </t>
  </si>
  <si>
    <t>Anzahl API-Calls pro Tag</t>
  </si>
  <si>
    <t>API-Calls Mio.</t>
  </si>
  <si>
    <t>API-Calls im Monat</t>
  </si>
  <si>
    <t>Datengröße insgesamt (kB)</t>
  </si>
  <si>
    <t>Datengröße insgesamt (GB)</t>
  </si>
  <si>
    <t>Durchführungsdauer Code 
gesamt in ms</t>
  </si>
  <si>
    <t>Durchführungsdauer Code 
gesamt in s</t>
  </si>
  <si>
    <t>Datenverarbeitung gesamt GB pro 
s bei 128 MB Arbeitsspeicher</t>
  </si>
  <si>
    <t>Anzahl Updates pro Jahr</t>
  </si>
  <si>
    <t>Preis pro Mio. API-Calls</t>
  </si>
  <si>
    <t>Preis pro 1 Mio. Anforderungen</t>
  </si>
  <si>
    <t>GET-Anforderungen pro 1000</t>
  </si>
  <si>
    <t>Durchschnitt gesamt geglättet (ohne booking.com)</t>
  </si>
  <si>
    <t>Durchschnitt</t>
  </si>
  <si>
    <t>und davon jeder durchschnittlich 5 Features nutzt</t>
  </si>
  <si>
    <t>Durchschnitt über 300.000</t>
  </si>
  <si>
    <t>Monatliche Kosten AWS (db.t3.medium)</t>
  </si>
  <si>
    <t>db.t3.large</t>
  </si>
  <si>
    <t>Ø-Aufrufe pro Endnutzer</t>
  </si>
  <si>
    <t>API Kosten</t>
  </si>
  <si>
    <t xml:space="preserve">Monatliche Gesamkosten </t>
  </si>
  <si>
    <t>Monatliche Kosten AWS (db.t3.large)</t>
  </si>
  <si>
    <t>Marge (€)</t>
  </si>
  <si>
    <t xml:space="preserve">Marge (€-Cent) </t>
  </si>
  <si>
    <t>Szenario 3</t>
  </si>
  <si>
    <t>Szenario 2</t>
  </si>
  <si>
    <t>Szenario 1</t>
  </si>
  <si>
    <t>Szenario 4</t>
  </si>
  <si>
    <t>Anbieter*</t>
  </si>
  <si>
    <t xml:space="preserve">* Die Liste potenzieller Kunden stellt lediglich eine Auswahl dar. </t>
  </si>
  <si>
    <t>Szenario 5</t>
  </si>
  <si>
    <t>Preis allgemein</t>
  </si>
  <si>
    <t>Anzahl Kunden &lt; 1.000.000 Klicks</t>
  </si>
  <si>
    <t>Anzahl Kunden &gt; 1.000.000 Klicks</t>
  </si>
  <si>
    <t>Anzahl Kunden &gt; 5.000.000 Klicks</t>
  </si>
  <si>
    <t>Ø-Klicks (Monat) bei Kunden mit &lt; 1.000.000 Visits</t>
  </si>
  <si>
    <t>Ø-Klicks (Monat) bei Kunden mit  &gt; 1.000.000 Klicks</t>
  </si>
  <si>
    <t>Ø-Klicks (Monat) bei Kunden mit &gt; 5.000.000 Klicks</t>
  </si>
  <si>
    <t>Ø-Klicks (Monat) bei Kunden mit &gt; 1.000.000 Klicks</t>
  </si>
  <si>
    <t>Marge in %</t>
  </si>
  <si>
    <t>Anzahl DB-Instanzen</t>
  </si>
  <si>
    <t>Marge pro 1000 Calls (€)</t>
  </si>
  <si>
    <t>Break-Even-Preis pro 1000 Calls (€)</t>
  </si>
  <si>
    <t>Break-Even-Preis pro Call (€)</t>
  </si>
  <si>
    <t>Break-Even-Preis pro Call (€-Cent)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</si>
</sst>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  <numFmt numFmtId="167" formatCode="0.000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to Regula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Up">
        <fgColor theme="0" tint="-0.34998626667073579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2" fontId="1" fillId="0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0" xfId="0" applyNumberFormat="1" applyFont="1" applyBorder="1" applyAlignment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6" fillId="0" borderId="12" xfId="0" applyFont="1" applyBorder="1"/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/>
    <xf numFmtId="0" fontId="0" fillId="7" borderId="5" xfId="0" applyFill="1" applyBorder="1"/>
    <xf numFmtId="164" fontId="0" fillId="12" borderId="5" xfId="0" applyNumberFormat="1" applyFill="1" applyBorder="1"/>
    <xf numFmtId="165" fontId="0" fillId="12" borderId="5" xfId="0" applyNumberFormat="1" applyFill="1" applyBorder="1"/>
    <xf numFmtId="2" fontId="0" fillId="12" borderId="5" xfId="0" applyNumberFormat="1" applyFill="1" applyBorder="1"/>
    <xf numFmtId="2" fontId="0" fillId="12" borderId="8" xfId="0" applyNumberFormat="1" applyFill="1" applyBorder="1"/>
    <xf numFmtId="3" fontId="0" fillId="7" borderId="8" xfId="0" applyNumberFormat="1" applyFill="1" applyBorder="1"/>
    <xf numFmtId="2" fontId="0" fillId="7" borderId="3" xfId="0" applyNumberFormat="1" applyFill="1" applyBorder="1"/>
    <xf numFmtId="3" fontId="0" fillId="7" borderId="3" xfId="0" applyNumberFormat="1" applyFill="1" applyBorder="1"/>
    <xf numFmtId="0" fontId="0" fillId="7" borderId="37" xfId="0" applyFill="1" applyBorder="1"/>
    <xf numFmtId="0" fontId="0" fillId="7" borderId="21" xfId="0" applyFill="1" applyBorder="1"/>
    <xf numFmtId="0" fontId="0" fillId="7" borderId="33" xfId="0" applyFill="1" applyBorder="1"/>
    <xf numFmtId="0" fontId="0" fillId="7" borderId="9" xfId="0" applyFill="1" applyBorder="1"/>
    <xf numFmtId="0" fontId="0" fillId="7" borderId="34" xfId="0" applyFill="1" applyBorder="1"/>
    <xf numFmtId="0" fontId="0" fillId="11" borderId="4" xfId="0" applyFill="1" applyBorder="1"/>
    <xf numFmtId="0" fontId="0" fillId="11" borderId="6" xfId="0" applyFill="1" applyBorder="1"/>
    <xf numFmtId="0" fontId="0" fillId="0" borderId="0" xfId="0" quotePrefix="1" applyAlignment="1">
      <alignment wrapText="1"/>
    </xf>
    <xf numFmtId="0" fontId="0" fillId="0" borderId="0" xfId="0" quotePrefix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0" fillId="11" borderId="35" xfId="0" applyNumberFormat="1" applyFill="1" applyBorder="1"/>
    <xf numFmtId="3" fontId="0" fillId="0" borderId="0" xfId="0" applyNumberFormat="1"/>
    <xf numFmtId="3" fontId="0" fillId="11" borderId="36" xfId="0" applyNumberFormat="1" applyFill="1" applyBorder="1"/>
    <xf numFmtId="0" fontId="0" fillId="0" borderId="0" xfId="0" applyBorder="1"/>
    <xf numFmtId="0" fontId="0" fillId="7" borderId="38" xfId="0" applyFill="1" applyBorder="1"/>
    <xf numFmtId="0" fontId="0" fillId="0" borderId="0" xfId="0" applyBorder="1" applyAlignment="1">
      <alignment wrapText="1"/>
    </xf>
    <xf numFmtId="3" fontId="0" fillId="7" borderId="5" xfId="0" applyNumberFormat="1" applyFill="1" applyBorder="1"/>
    <xf numFmtId="0" fontId="0" fillId="7" borderId="35" xfId="0" applyFill="1" applyBorder="1"/>
    <xf numFmtId="0" fontId="0" fillId="7" borderId="36" xfId="0" applyFill="1" applyBorder="1"/>
    <xf numFmtId="0" fontId="1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9" fontId="0" fillId="7" borderId="5" xfId="1" applyFont="1" applyFill="1" applyBorder="1"/>
    <xf numFmtId="0" fontId="0" fillId="7" borderId="8" xfId="0" applyFill="1" applyBorder="1"/>
    <xf numFmtId="166" fontId="0" fillId="7" borderId="8" xfId="2" applyNumberFormat="1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0" xfId="0" applyFill="1"/>
    <xf numFmtId="167" fontId="0" fillId="12" borderId="5" xfId="0" applyNumberFormat="1" applyFill="1" applyBorder="1"/>
    <xf numFmtId="0" fontId="1" fillId="0" borderId="0" xfId="0" applyFont="1" applyBorder="1" applyAlignment="1">
      <alignment horizontal="center"/>
    </xf>
    <xf numFmtId="0" fontId="3" fillId="6" borderId="39" xfId="0" applyFont="1" applyFill="1" applyBorder="1" applyAlignment="1">
      <alignment horizontal="left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left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left" vertical="center"/>
    </xf>
    <xf numFmtId="0" fontId="3" fillId="6" borderId="52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left" vertical="center"/>
    </xf>
    <xf numFmtId="0" fontId="3" fillId="6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left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6" fontId="2" fillId="9" borderId="15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6" fontId="2" fillId="9" borderId="17" xfId="0" applyNumberFormat="1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6" fontId="1" fillId="1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9" fontId="0" fillId="12" borderId="5" xfId="1" applyFont="1" applyFill="1" applyBorder="1"/>
    <xf numFmtId="0" fontId="0" fillId="7" borderId="1" xfId="0" applyFill="1" applyBorder="1"/>
    <xf numFmtId="0" fontId="0" fillId="7" borderId="6" xfId="0" applyFill="1" applyBorder="1"/>
    <xf numFmtId="4" fontId="0" fillId="7" borderId="38" xfId="0" applyNumberFormat="1" applyFill="1" applyBorder="1"/>
    <xf numFmtId="3" fontId="0" fillId="7" borderId="36" xfId="0" applyNumberFormat="1" applyFill="1" applyBorder="1"/>
    <xf numFmtId="165" fontId="0" fillId="0" borderId="0" xfId="0" quotePrefix="1" applyNumberFormat="1"/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42A3E8"/>
      <color rgb="FF2EC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400" b="1"/>
              <a:t>Break-Even-Preis</a:t>
            </a:r>
            <a:r>
              <a:rPr lang="de-DE" sz="2400" b="1" baseline="0"/>
              <a:t>, </a:t>
            </a:r>
            <a:r>
              <a:rPr lang="de-DE" sz="2400" b="1"/>
              <a:t>Preis und Marge pro</a:t>
            </a:r>
            <a:r>
              <a:rPr lang="de-DE" sz="2400" b="1" baseline="0"/>
              <a:t> 1000 Calls im Verlauf </a:t>
            </a:r>
            <a:endParaRPr lang="de-DE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828907019603128"/>
          <c:y val="0.18463494245482584"/>
          <c:w val="0.87129396325459318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v>Break-Even Preis pro 1000 Calls in €</c:v>
          </c:tx>
          <c:spPr>
            <a:ln w="28575" cap="rnd">
              <a:solidFill>
                <a:srgbClr val="42A3E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246596802687792E-2"/>
                  <c:y val="-1.773707427636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7-490B-9F68-4B1CCC74CCF4}"/>
                </c:ext>
              </c:extLst>
            </c:dLbl>
            <c:dLbl>
              <c:idx val="1"/>
              <c:layout>
                <c:manualLayout>
                  <c:x val="-5.0806282921634621E-3"/>
                  <c:y val="-3.5511108371625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7-490B-9F68-4B1CCC74CCF4}"/>
                </c:ext>
              </c:extLst>
            </c:dLbl>
            <c:dLbl>
              <c:idx val="2"/>
              <c:layout>
                <c:manualLayout>
                  <c:x val="3.1764449881544789E-2"/>
                  <c:y val="-2.53225111796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7-490B-9F68-4B1CCC74CCF4}"/>
                </c:ext>
              </c:extLst>
            </c:dLbl>
            <c:dLbl>
              <c:idx val="3"/>
              <c:layout>
                <c:manualLayout>
                  <c:x val="2.1382057364694246E-2"/>
                  <c:y val="-2.580602808724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F-4A2D-8D04-AF23FDDAFA2E}"/>
                </c:ext>
              </c:extLst>
            </c:dLbl>
            <c:dLbl>
              <c:idx val="4"/>
              <c:layout>
                <c:manualLayout>
                  <c:x val="1.30322132846521E-2"/>
                  <c:y val="-2.6323222028239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F-4A2D-8D04-AF23FDDAF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(Preis!$A$1,Preis!$A$21,Preis!$A$41,Preis!$A$61,Preis!$A$81)</c:f>
              <c:strCache>
                <c:ptCount val="5"/>
                <c:pt idx="0">
                  <c:v>Szenario 1</c:v>
                </c:pt>
                <c:pt idx="1">
                  <c:v>Szenario 2</c:v>
                </c:pt>
                <c:pt idx="2">
                  <c:v>Szenario 3</c:v>
                </c:pt>
                <c:pt idx="3">
                  <c:v>Szenario 4</c:v>
                </c:pt>
                <c:pt idx="4">
                  <c:v>Szenario 5</c:v>
                </c:pt>
              </c:strCache>
            </c:strRef>
          </c:cat>
          <c:val>
            <c:numRef>
              <c:f>(Preis!$B$13,Preis!$B$33,Preis!$B$53,Preis!$B$73,Preis!$B$93)</c:f>
              <c:numCache>
                <c:formatCode>0.000</c:formatCode>
                <c:ptCount val="5"/>
                <c:pt idx="0" formatCode="0.00">
                  <c:v>4.2174592431397304</c:v>
                </c:pt>
                <c:pt idx="1">
                  <c:v>0.51312045718104748</c:v>
                </c:pt>
                <c:pt idx="2">
                  <c:v>0.18274149942439977</c:v>
                </c:pt>
                <c:pt idx="3">
                  <c:v>0.10582864100166516</c:v>
                </c:pt>
                <c:pt idx="4">
                  <c:v>7.3537819188659648E-2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90B-9F68-4B1CCC74CCF4}"/>
            </c:ext>
          </c:extLst>
        </c:ser>
        <c:ser>
          <c:idx val="1"/>
          <c:order val="1"/>
          <c:tx>
            <c:v>Preis pro 1000 Calls in €</c:v>
          </c:tx>
          <c:spPr>
            <a:ln w="28575" cap="rnd">
              <a:solidFill>
                <a:srgbClr val="2EC5B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9562360575121347E-2"/>
                  <c:y val="-2.1526358326319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7-490B-9F68-4B1CCC74CCF4}"/>
                </c:ext>
              </c:extLst>
            </c:dLbl>
            <c:dLbl>
              <c:idx val="1"/>
              <c:layout>
                <c:manualLayout>
                  <c:x val="-6.2304968821263497E-3"/>
                  <c:y val="-4.684013859393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7-490B-9F68-4B1CCC74CCF4}"/>
                </c:ext>
              </c:extLst>
            </c:dLbl>
            <c:dLbl>
              <c:idx val="2"/>
              <c:layout>
                <c:manualLayout>
                  <c:x val="-2.1974460796581861E-2"/>
                  <c:y val="-6.3123887143621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7-490B-9F68-4B1CCC74CCF4}"/>
                </c:ext>
              </c:extLst>
            </c:dLbl>
            <c:dLbl>
              <c:idx val="3"/>
              <c:layout>
                <c:manualLayout>
                  <c:x val="-9.9349589796452926E-3"/>
                  <c:y val="-5.6610387723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8F-4A2D-8D04-AF23FDDAFA2E}"/>
                </c:ext>
              </c:extLst>
            </c:dLbl>
            <c:dLbl>
              <c:idx val="4"/>
              <c:layout>
                <c:manualLayout>
                  <c:x val="-4.4201233381695661E-2"/>
                  <c:y val="-5.0096888303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F-4A2D-8D04-AF23FDDAF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(Preis!$A$1,Preis!$A$21,Preis!$A$41,Preis!$A$61,Preis!$A$81)</c:f>
              <c:strCache>
                <c:ptCount val="5"/>
                <c:pt idx="0">
                  <c:v>Szenario 1</c:v>
                </c:pt>
                <c:pt idx="1">
                  <c:v>Szenario 2</c:v>
                </c:pt>
                <c:pt idx="2">
                  <c:v>Szenario 3</c:v>
                </c:pt>
                <c:pt idx="3">
                  <c:v>Szenario 4</c:v>
                </c:pt>
                <c:pt idx="4">
                  <c:v>Szenario 5</c:v>
                </c:pt>
              </c:strCache>
            </c:strRef>
          </c:cat>
          <c:val>
            <c:numRef>
              <c:f>(Preis!$B$18,Preis!$B$38,Preis!$B$58,Preis!$B$78,Preis!$B$98)</c:f>
              <c:numCache>
                <c:formatCode>0.00</c:formatCode>
                <c:ptCount val="5"/>
                <c:pt idx="0">
                  <c:v>4.2174592431397304</c:v>
                </c:pt>
                <c:pt idx="1">
                  <c:v>1.5034429395404691</c:v>
                </c:pt>
                <c:pt idx="2">
                  <c:v>1.2974646459132382</c:v>
                </c:pt>
                <c:pt idx="3">
                  <c:v>1.3016922843204815</c:v>
                </c:pt>
                <c:pt idx="4">
                  <c:v>1.301619399639276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B7-490B-9F68-4B1CCC74CCF4}"/>
            </c:ext>
          </c:extLst>
        </c:ser>
        <c:ser>
          <c:idx val="2"/>
          <c:order val="2"/>
          <c:tx>
            <c:v>Marge pro 1000 Calls in €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334193368133029E-2"/>
                  <c:y val="-2.9687003066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D-46C0-8A4D-0F3F0E37D4A4}"/>
                </c:ext>
              </c:extLst>
            </c:dLbl>
            <c:dLbl>
              <c:idx val="1"/>
              <c:layout>
                <c:manualLayout>
                  <c:x val="-1.8506350830527887E-2"/>
                  <c:y val="-3.9635303979245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D-46C0-8A4D-0F3F0E37D4A4}"/>
                </c:ext>
              </c:extLst>
            </c:dLbl>
            <c:dLbl>
              <c:idx val="2"/>
              <c:layout>
                <c:manualLayout>
                  <c:x val="2.3354300005425366E-2"/>
                  <c:y val="-4.1955014029026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D-46C0-8A4D-0F3F0E37D4A4}"/>
                </c:ext>
              </c:extLst>
            </c:dLbl>
            <c:dLbl>
              <c:idx val="3"/>
              <c:layout>
                <c:manualLayout>
                  <c:x val="2.5206531054184904E-2"/>
                  <c:y val="-2.892801518927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D-46C0-8A4D-0F3F0E37D4A4}"/>
                </c:ext>
              </c:extLst>
            </c:dLbl>
            <c:dLbl>
              <c:idx val="4"/>
              <c:layout>
                <c:manualLayout>
                  <c:x val="2.4280415529805168E-2"/>
                  <c:y val="-3.055639004424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D-46C0-8A4D-0F3F0E37D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(Preis!$B$17,Preis!$B$37,Preis!$B$57,Preis!$B$77,Preis!$B$97)</c:f>
              <c:numCache>
                <c:formatCode>0.000</c:formatCode>
                <c:ptCount val="5"/>
                <c:pt idx="0" formatCode="0.00">
                  <c:v>0</c:v>
                </c:pt>
                <c:pt idx="1">
                  <c:v>0.99032248235942155</c:v>
                </c:pt>
                <c:pt idx="2">
                  <c:v>1.1147231464888385</c:v>
                </c:pt>
                <c:pt idx="3">
                  <c:v>1.1958636433188163</c:v>
                </c:pt>
                <c:pt idx="4">
                  <c:v>1.2280815804506162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46C0-8A4D-0F3F0E37D4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9852431"/>
        <c:axId val="364391343"/>
      </c:lineChart>
      <c:catAx>
        <c:axId val="36985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391343"/>
        <c:crosses val="autoZero"/>
        <c:auto val="1"/>
        <c:lblAlgn val="ctr"/>
        <c:lblOffset val="100"/>
        <c:noMultiLvlLbl val="0"/>
      </c:catAx>
      <c:valAx>
        <c:axId val="36439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985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215400</xdr:colOff>
      <xdr:row>17</xdr:row>
      <xdr:rowOff>193720</xdr:rowOff>
    </xdr:from>
    <xdr:to>
      <xdr:col>16</xdr:col>
      <xdr:colOff>345681</xdr:colOff>
      <xdr:row>58</xdr:row>
      <xdr:rowOff>177187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0A16EF1-545E-40ED-9AF2-F21A8B7C95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D4A-5A0F-4C4F-B883-D59410F84F6C}">
  <dimension ref="A1:S32"/>
  <sheetViews>
    <sheetView zoomScaleNormal="100" workbookViewId="0">
      <selection activeCell="B27" sqref="B27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2.85546875" style="1" customWidth="1"/>
    <col min="5" max="5" width="14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27" customHeight="1" thickBot="1">
      <c r="A3" s="86" t="s">
        <v>73</v>
      </c>
      <c r="B3" s="87">
        <v>2000</v>
      </c>
      <c r="C3" s="1" t="s">
        <v>18</v>
      </c>
      <c r="E3" s="182" t="s">
        <v>82</v>
      </c>
      <c r="F3" s="183"/>
      <c r="G3" s="57">
        <v>3.7</v>
      </c>
      <c r="H3" s="58" t="s">
        <v>1</v>
      </c>
      <c r="K3" s="188" t="s">
        <v>12</v>
      </c>
      <c r="L3" s="189"/>
      <c r="M3" s="52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61000</v>
      </c>
      <c r="E4" s="190" t="s">
        <v>2</v>
      </c>
      <c r="F4" s="191"/>
      <c r="G4" s="59">
        <v>0.09</v>
      </c>
      <c r="H4" s="60" t="s">
        <v>1</v>
      </c>
      <c r="K4" s="192" t="s">
        <v>84</v>
      </c>
      <c r="L4" s="193"/>
      <c r="M4" s="62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6.0999999999999999E-2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0.61</v>
      </c>
      <c r="H6" s="171" t="s">
        <v>1</v>
      </c>
      <c r="K6" s="173" t="s">
        <v>10</v>
      </c>
      <c r="L6" s="174"/>
      <c r="M6" s="9">
        <f>B19*M3+M4*B4/1000</f>
        <v>5.0729999999999997E-2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4270000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4.2699999999999996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C11" s="1" t="s">
        <v>18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0.55510000000000004</v>
      </c>
      <c r="N11" s="79" t="s">
        <v>24</v>
      </c>
      <c r="O11" s="19"/>
      <c r="P11" s="138" t="s">
        <v>0</v>
      </c>
      <c r="Q11" s="139"/>
      <c r="R11" s="20">
        <f>G6*M8</f>
        <v>0.55510000000000004</v>
      </c>
      <c r="S11" s="79" t="s">
        <v>24</v>
      </c>
    </row>
    <row r="12" spans="1:19" ht="18" customHeight="1" thickBot="1">
      <c r="A12" s="161" t="s">
        <v>78</v>
      </c>
      <c r="B12" s="162">
        <f>B11*B4</f>
        <v>61000000</v>
      </c>
      <c r="E12" s="155" t="s">
        <v>83</v>
      </c>
      <c r="F12" s="156"/>
      <c r="G12" s="55">
        <v>0.2</v>
      </c>
      <c r="H12" s="61" t="s">
        <v>1</v>
      </c>
      <c r="J12" s="19"/>
      <c r="K12" s="138" t="s">
        <v>4</v>
      </c>
      <c r="L12" s="139"/>
      <c r="M12" s="20">
        <f>G14*M8</f>
        <v>0.1267709625</v>
      </c>
      <c r="N12" s="79" t="s">
        <v>24</v>
      </c>
      <c r="O12" s="19"/>
      <c r="P12" s="138" t="s">
        <v>4</v>
      </c>
      <c r="Q12" s="139"/>
      <c r="R12" s="20">
        <f>G14*M8</f>
        <v>0.1267709625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61000</v>
      </c>
      <c r="E14" s="155" t="s">
        <v>5</v>
      </c>
      <c r="F14" s="156"/>
      <c r="G14" s="159">
        <f>B5*G12+B16*G10</f>
        <v>0.13930875000000001</v>
      </c>
      <c r="H14" s="160" t="s">
        <v>1</v>
      </c>
      <c r="J14" s="19"/>
      <c r="K14" s="138" t="s">
        <v>15</v>
      </c>
      <c r="L14" s="139"/>
      <c r="M14" s="20">
        <f>M6*M8</f>
        <v>4.6164299999999998E-2</v>
      </c>
      <c r="N14" s="79" t="s">
        <v>24</v>
      </c>
      <c r="O14" s="19"/>
      <c r="P14" s="138" t="s">
        <v>15</v>
      </c>
      <c r="Q14" s="139"/>
      <c r="R14" s="20">
        <f>M6*M8</f>
        <v>4.6164299999999998E-2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7625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92.310018595833341</v>
      </c>
      <c r="N17" s="121" t="s">
        <v>24</v>
      </c>
      <c r="O17" s="19"/>
      <c r="P17" s="149" t="s">
        <v>93</v>
      </c>
      <c r="Q17" s="150"/>
      <c r="R17" s="119">
        <f>SUM(R11:R15)</f>
        <v>145.45401859583333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56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54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53">
        <v>0.115</v>
      </c>
      <c r="H24" s="72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E2:H2"/>
    <mergeCell ref="K2:N2"/>
    <mergeCell ref="E3:F3"/>
    <mergeCell ref="K3:L3"/>
    <mergeCell ref="E4:F4"/>
    <mergeCell ref="K4:L4"/>
    <mergeCell ref="P10:S10"/>
    <mergeCell ref="K11:L11"/>
    <mergeCell ref="P11:Q11"/>
    <mergeCell ref="E5:H5"/>
    <mergeCell ref="K5:N5"/>
    <mergeCell ref="E6:F7"/>
    <mergeCell ref="G6:G7"/>
    <mergeCell ref="H6:H7"/>
    <mergeCell ref="K6:L6"/>
    <mergeCell ref="E9:H9"/>
    <mergeCell ref="E10:F11"/>
    <mergeCell ref="G10:G11"/>
    <mergeCell ref="H10:H11"/>
    <mergeCell ref="K10:N10"/>
    <mergeCell ref="A12:A13"/>
    <mergeCell ref="B12:B13"/>
    <mergeCell ref="E12:F12"/>
    <mergeCell ref="K12:L12"/>
    <mergeCell ref="P12:Q12"/>
    <mergeCell ref="E13:H13"/>
    <mergeCell ref="K13:L13"/>
    <mergeCell ref="P13:Q13"/>
    <mergeCell ref="P14:Q14"/>
    <mergeCell ref="K15:L15"/>
    <mergeCell ref="P15:Q15"/>
    <mergeCell ref="A16:A17"/>
    <mergeCell ref="B16:B17"/>
    <mergeCell ref="E17:H17"/>
    <mergeCell ref="K17:L18"/>
    <mergeCell ref="M17:M18"/>
    <mergeCell ref="N17:N18"/>
    <mergeCell ref="P17:Q18"/>
    <mergeCell ref="A14:A15"/>
    <mergeCell ref="B14:B15"/>
    <mergeCell ref="E14:F15"/>
    <mergeCell ref="G14:G15"/>
    <mergeCell ref="H14:H15"/>
    <mergeCell ref="K14:L14"/>
    <mergeCell ref="E25:H25"/>
    <mergeCell ref="R17:R18"/>
    <mergeCell ref="S17:S18"/>
    <mergeCell ref="E18:F19"/>
    <mergeCell ref="G18:G19"/>
    <mergeCell ref="H18:H19"/>
    <mergeCell ref="E20:F20"/>
    <mergeCell ref="E21:F22"/>
    <mergeCell ref="G21:G22"/>
    <mergeCell ref="H21:H22"/>
    <mergeCell ref="E23:F23"/>
    <mergeCell ref="E24:F24"/>
    <mergeCell ref="E26:F27"/>
    <mergeCell ref="G26:G27"/>
    <mergeCell ref="H26:H27"/>
    <mergeCell ref="E28:F29"/>
    <mergeCell ref="G28:G29"/>
    <mergeCell ref="H28:H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CFD2-055F-40B9-8584-C35C1183742D}">
  <dimension ref="A1:S32"/>
  <sheetViews>
    <sheetView zoomScaleNormal="100" workbookViewId="0">
      <selection activeCell="B3" sqref="B3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2.85546875" style="1" customWidth="1"/>
    <col min="5" max="5" width="14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27" customHeight="1" thickBot="1">
      <c r="A3" s="86" t="s">
        <v>73</v>
      </c>
      <c r="B3" s="87">
        <f>((Preis!B4*Preis!E4)+(Preis!B5*Preis!E5)+(Preis!B6*Preis!E6))*Preis!B7*Preis!B8/30.5</f>
        <v>714.09836065573768</v>
      </c>
      <c r="E3" s="182" t="s">
        <v>82</v>
      </c>
      <c r="F3" s="183"/>
      <c r="G3" s="3">
        <v>3.7</v>
      </c>
      <c r="H3" s="4" t="s">
        <v>1</v>
      </c>
      <c r="K3" s="188" t="s">
        <v>12</v>
      </c>
      <c r="L3" s="189"/>
      <c r="M3" s="5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21780</v>
      </c>
      <c r="E4" s="190" t="s">
        <v>2</v>
      </c>
      <c r="F4" s="191"/>
      <c r="G4" s="7">
        <v>0.09</v>
      </c>
      <c r="H4" s="8" t="s">
        <v>1</v>
      </c>
      <c r="K4" s="192" t="s">
        <v>84</v>
      </c>
      <c r="L4" s="193"/>
      <c r="M4" s="25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2.1780000000000001E-2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0.21779999999999999</v>
      </c>
      <c r="H6" s="171" t="s">
        <v>1</v>
      </c>
      <c r="K6" s="173" t="s">
        <v>10</v>
      </c>
      <c r="L6" s="174"/>
      <c r="M6" s="9">
        <f>B19*M3+M4*B4/1000</f>
        <v>3.3865400000000004E-2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1524600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1.5246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C11" s="1" t="s">
        <v>18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0.19819800000000001</v>
      </c>
      <c r="N11" s="79" t="s">
        <v>24</v>
      </c>
      <c r="O11" s="19"/>
      <c r="P11" s="138" t="s">
        <v>0</v>
      </c>
      <c r="Q11" s="139"/>
      <c r="R11" s="20">
        <f>G6*M8</f>
        <v>0.19819800000000001</v>
      </c>
      <c r="S11" s="79" t="s">
        <v>24</v>
      </c>
    </row>
    <row r="12" spans="1:19" ht="18" customHeight="1" thickBot="1">
      <c r="A12" s="161" t="s">
        <v>78</v>
      </c>
      <c r="B12" s="162">
        <f>B11*B4</f>
        <v>21780000</v>
      </c>
      <c r="E12" s="155" t="s">
        <v>83</v>
      </c>
      <c r="F12" s="156"/>
      <c r="G12" s="11">
        <v>0.2</v>
      </c>
      <c r="H12" s="12" t="s">
        <v>1</v>
      </c>
      <c r="J12" s="19"/>
      <c r="K12" s="138" t="s">
        <v>4</v>
      </c>
      <c r="L12" s="139"/>
      <c r="M12" s="20">
        <f>G14*M8</f>
        <v>4.5263468250000001E-2</v>
      </c>
      <c r="N12" s="79" t="s">
        <v>24</v>
      </c>
      <c r="O12" s="19"/>
      <c r="P12" s="138" t="s">
        <v>4</v>
      </c>
      <c r="Q12" s="139"/>
      <c r="R12" s="20">
        <f>G14*M8</f>
        <v>4.5263468250000001E-2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21780</v>
      </c>
      <c r="E14" s="155" t="s">
        <v>5</v>
      </c>
      <c r="F14" s="156"/>
      <c r="G14" s="159">
        <f>B5*G12+B16*G10</f>
        <v>4.9740075000000002E-2</v>
      </c>
      <c r="H14" s="160" t="s">
        <v>1</v>
      </c>
      <c r="J14" s="19"/>
      <c r="K14" s="138" t="s">
        <v>15</v>
      </c>
      <c r="L14" s="139"/>
      <c r="M14" s="20">
        <f>M6*M8</f>
        <v>3.0817514000000004E-2</v>
      </c>
      <c r="N14" s="79" t="s">
        <v>24</v>
      </c>
      <c r="O14" s="19"/>
      <c r="P14" s="138" t="s">
        <v>15</v>
      </c>
      <c r="Q14" s="139"/>
      <c r="R14" s="20">
        <f>M6*M8</f>
        <v>3.0817514000000004E-2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2722.5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91.856262315583336</v>
      </c>
      <c r="N17" s="121" t="s">
        <v>24</v>
      </c>
      <c r="O17" s="19"/>
      <c r="P17" s="149" t="s">
        <v>93</v>
      </c>
      <c r="Q17" s="150"/>
      <c r="R17" s="119">
        <f>SUM(R11:R15)</f>
        <v>145.00026231558334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13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16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18">
        <v>0.115</v>
      </c>
      <c r="H24" s="15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P17:Q18"/>
    <mergeCell ref="H21:H22"/>
    <mergeCell ref="P15:Q15"/>
    <mergeCell ref="R17:R18"/>
    <mergeCell ref="S17:S18"/>
    <mergeCell ref="M17:M18"/>
    <mergeCell ref="N17:N18"/>
    <mergeCell ref="E28:F29"/>
    <mergeCell ref="G28:G29"/>
    <mergeCell ref="H28:H29"/>
    <mergeCell ref="P10:S10"/>
    <mergeCell ref="P11:Q11"/>
    <mergeCell ref="P12:Q12"/>
    <mergeCell ref="P13:Q13"/>
    <mergeCell ref="P14:Q14"/>
    <mergeCell ref="E26:F27"/>
    <mergeCell ref="G26:G27"/>
    <mergeCell ref="E20:F20"/>
    <mergeCell ref="E18:F19"/>
    <mergeCell ref="G18:G19"/>
    <mergeCell ref="H26:H27"/>
    <mergeCell ref="E25:H25"/>
    <mergeCell ref="K17:L18"/>
    <mergeCell ref="K4:L4"/>
    <mergeCell ref="K5:N5"/>
    <mergeCell ref="K11:L11"/>
    <mergeCell ref="K12:L12"/>
    <mergeCell ref="K15:L15"/>
    <mergeCell ref="E9:H9"/>
    <mergeCell ref="H10:H11"/>
    <mergeCell ref="G10:G11"/>
    <mergeCell ref="E13:H13"/>
    <mergeCell ref="E10:F11"/>
    <mergeCell ref="E3:F3"/>
    <mergeCell ref="E2:H2"/>
    <mergeCell ref="E4:F4"/>
    <mergeCell ref="E6:F7"/>
    <mergeCell ref="G6:G7"/>
    <mergeCell ref="H6:H7"/>
    <mergeCell ref="E5:H5"/>
    <mergeCell ref="K2:N2"/>
    <mergeCell ref="K6:L6"/>
    <mergeCell ref="K3:L3"/>
    <mergeCell ref="K10:N10"/>
    <mergeCell ref="E24:F24"/>
    <mergeCell ref="E21:F22"/>
    <mergeCell ref="E23:F23"/>
    <mergeCell ref="G21:G22"/>
    <mergeCell ref="H18:H19"/>
    <mergeCell ref="E14:F15"/>
    <mergeCell ref="G14:G15"/>
    <mergeCell ref="H14:H15"/>
    <mergeCell ref="E17:H17"/>
    <mergeCell ref="E12:F12"/>
    <mergeCell ref="K14:L14"/>
    <mergeCell ref="K13:L13"/>
    <mergeCell ref="A12:A13"/>
    <mergeCell ref="A14:A15"/>
    <mergeCell ref="A16:A17"/>
    <mergeCell ref="B12:B13"/>
    <mergeCell ref="B14:B15"/>
    <mergeCell ref="B16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46AA-FB23-414E-AA4A-113CB19C01AA}">
  <dimension ref="A1:S32"/>
  <sheetViews>
    <sheetView zoomScaleNormal="100" workbookViewId="0">
      <selection activeCell="B3" sqref="B3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0.7109375" style="1" customWidth="1"/>
    <col min="5" max="5" width="14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28.5" customHeight="1" thickBot="1">
      <c r="A3" s="86" t="s">
        <v>73</v>
      </c>
      <c r="B3" s="87">
        <f>((Preis!B24*Preis!E24)+(Preis!B25*Preis!E25)+(Preis!B26*Preis!E26))*Preis!B27*Preis!B8/30.5</f>
        <v>9469.1803278688531</v>
      </c>
      <c r="E3" s="182" t="s">
        <v>82</v>
      </c>
      <c r="F3" s="183"/>
      <c r="G3" s="57">
        <v>3.7</v>
      </c>
      <c r="H3" s="58" t="s">
        <v>1</v>
      </c>
      <c r="K3" s="188" t="s">
        <v>12</v>
      </c>
      <c r="L3" s="189"/>
      <c r="M3" s="52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288810</v>
      </c>
      <c r="E4" s="190" t="s">
        <v>2</v>
      </c>
      <c r="F4" s="191"/>
      <c r="G4" s="59">
        <v>0.09</v>
      </c>
      <c r="H4" s="60" t="s">
        <v>1</v>
      </c>
      <c r="K4" s="192" t="s">
        <v>84</v>
      </c>
      <c r="L4" s="193"/>
      <c r="M4" s="62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0.28881000000000001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2.8880999999999997</v>
      </c>
      <c r="H6" s="171" t="s">
        <v>1</v>
      </c>
      <c r="K6" s="173" t="s">
        <v>10</v>
      </c>
      <c r="L6" s="174"/>
      <c r="M6" s="9">
        <f>B19*M3+M4*B4/1000</f>
        <v>0.1486883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20216700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20.216699999999999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2.6281709999999996</v>
      </c>
      <c r="N11" s="79" t="s">
        <v>24</v>
      </c>
      <c r="O11" s="19"/>
      <c r="P11" s="138" t="s">
        <v>0</v>
      </c>
      <c r="Q11" s="139"/>
      <c r="R11" s="20">
        <f>G6*M8</f>
        <v>2.6281709999999996</v>
      </c>
      <c r="S11" s="79" t="s">
        <v>24</v>
      </c>
    </row>
    <row r="12" spans="1:19" ht="18" customHeight="1" thickBot="1">
      <c r="A12" s="161" t="s">
        <v>78</v>
      </c>
      <c r="B12" s="162">
        <f>B11*B4</f>
        <v>288810000</v>
      </c>
      <c r="C12" s="1" t="s">
        <v>18</v>
      </c>
      <c r="E12" s="155" t="s">
        <v>83</v>
      </c>
      <c r="F12" s="156"/>
      <c r="G12" s="55">
        <v>0.2</v>
      </c>
      <c r="H12" s="61" t="s">
        <v>1</v>
      </c>
      <c r="J12" s="19"/>
      <c r="K12" s="138" t="s">
        <v>4</v>
      </c>
      <c r="L12" s="139"/>
      <c r="M12" s="20">
        <f>G14*M8</f>
        <v>0.60020855212500002</v>
      </c>
      <c r="N12" s="79" t="s">
        <v>24</v>
      </c>
      <c r="O12" s="19"/>
      <c r="P12" s="138" t="s">
        <v>4</v>
      </c>
      <c r="Q12" s="139"/>
      <c r="R12" s="20">
        <f>G14*M8</f>
        <v>0.60020855212500002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288810</v>
      </c>
      <c r="E14" s="155" t="s">
        <v>5</v>
      </c>
      <c r="F14" s="156"/>
      <c r="G14" s="159">
        <f>B5*G12+B16*G10</f>
        <v>0.65956983749999998</v>
      </c>
      <c r="H14" s="160" t="s">
        <v>1</v>
      </c>
      <c r="J14" s="19"/>
      <c r="K14" s="138" t="s">
        <v>15</v>
      </c>
      <c r="L14" s="139"/>
      <c r="M14" s="20">
        <f>M6*M8</f>
        <v>0.13530635299999999</v>
      </c>
      <c r="N14" s="79" t="s">
        <v>24</v>
      </c>
      <c r="O14" s="19"/>
      <c r="P14" s="138" t="s">
        <v>15</v>
      </c>
      <c r="Q14" s="139"/>
      <c r="R14" s="20">
        <f>M6*M8</f>
        <v>0.13530635299999999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36101.25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94.945669238458336</v>
      </c>
      <c r="N17" s="121" t="s">
        <v>24</v>
      </c>
      <c r="O17" s="19"/>
      <c r="P17" s="149" t="s">
        <v>93</v>
      </c>
      <c r="Q17" s="150"/>
      <c r="R17" s="119">
        <f>SUM(R11:R15)</f>
        <v>148.08966923845836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56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54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53">
        <v>0.115</v>
      </c>
      <c r="H24" s="72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E2:H2"/>
    <mergeCell ref="K2:N2"/>
    <mergeCell ref="E3:F3"/>
    <mergeCell ref="K3:L3"/>
    <mergeCell ref="E4:F4"/>
    <mergeCell ref="K4:L4"/>
    <mergeCell ref="E5:H5"/>
    <mergeCell ref="K5:N5"/>
    <mergeCell ref="E6:F7"/>
    <mergeCell ref="G6:G7"/>
    <mergeCell ref="H6:H7"/>
    <mergeCell ref="K6:L6"/>
    <mergeCell ref="E9:H9"/>
    <mergeCell ref="E10:F11"/>
    <mergeCell ref="G10:G11"/>
    <mergeCell ref="H10:H11"/>
    <mergeCell ref="K10:N10"/>
    <mergeCell ref="P10:S10"/>
    <mergeCell ref="K11:L11"/>
    <mergeCell ref="P11:Q11"/>
    <mergeCell ref="E12:F12"/>
    <mergeCell ref="K12:L12"/>
    <mergeCell ref="P12:Q12"/>
    <mergeCell ref="E13:H13"/>
    <mergeCell ref="K13:L13"/>
    <mergeCell ref="P13:Q13"/>
    <mergeCell ref="E14:F15"/>
    <mergeCell ref="G14:G15"/>
    <mergeCell ref="H14:H15"/>
    <mergeCell ref="K14:L14"/>
    <mergeCell ref="P14:Q14"/>
    <mergeCell ref="K15:L15"/>
    <mergeCell ref="P15:Q15"/>
    <mergeCell ref="G21:G22"/>
    <mergeCell ref="H21:H22"/>
    <mergeCell ref="E17:H17"/>
    <mergeCell ref="K17:L18"/>
    <mergeCell ref="M17:M18"/>
    <mergeCell ref="S17:S18"/>
    <mergeCell ref="E18:F19"/>
    <mergeCell ref="G18:G19"/>
    <mergeCell ref="H18:H19"/>
    <mergeCell ref="E20:F20"/>
    <mergeCell ref="N17:N18"/>
    <mergeCell ref="P17:Q18"/>
    <mergeCell ref="R17:R18"/>
    <mergeCell ref="E28:F29"/>
    <mergeCell ref="G28:G29"/>
    <mergeCell ref="H28:H29"/>
    <mergeCell ref="A12:A13"/>
    <mergeCell ref="A14:A15"/>
    <mergeCell ref="A16:A17"/>
    <mergeCell ref="B12:B13"/>
    <mergeCell ref="B14:B15"/>
    <mergeCell ref="B16:B17"/>
    <mergeCell ref="E23:F23"/>
    <mergeCell ref="E24:F24"/>
    <mergeCell ref="E25:H25"/>
    <mergeCell ref="E26:F27"/>
    <mergeCell ref="G26:G27"/>
    <mergeCell ref="H26:H27"/>
    <mergeCell ref="E21:F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C6B2-1C21-43FE-8B5B-EE1F552173E9}">
  <dimension ref="A1:S32"/>
  <sheetViews>
    <sheetView zoomScaleNormal="100" workbookViewId="0">
      <selection activeCell="B3" sqref="B3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2.28515625" style="1" customWidth="1"/>
    <col min="5" max="5" width="17.7109375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40.5" customHeight="1" thickBot="1">
      <c r="A3" s="86" t="s">
        <v>73</v>
      </c>
      <c r="B3" s="87">
        <f>((Preis!B44*Preis!E44)+(Preis!B45*Preis!E45)+(Preis!B46*Preis!E46))*Preis!B47*Preis!B48/30.5</f>
        <v>61755.737704918036</v>
      </c>
      <c r="E3" s="182" t="s">
        <v>82</v>
      </c>
      <c r="F3" s="183"/>
      <c r="G3" s="57">
        <v>3.7</v>
      </c>
      <c r="H3" s="58" t="s">
        <v>1</v>
      </c>
      <c r="K3" s="188" t="s">
        <v>12</v>
      </c>
      <c r="L3" s="189"/>
      <c r="M3" s="52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1883550</v>
      </c>
      <c r="E4" s="190" t="s">
        <v>2</v>
      </c>
      <c r="F4" s="191"/>
      <c r="G4" s="59">
        <v>0.09</v>
      </c>
      <c r="H4" s="60" t="s">
        <v>1</v>
      </c>
      <c r="K4" s="192" t="s">
        <v>84</v>
      </c>
      <c r="L4" s="193"/>
      <c r="M4" s="62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1.8835500000000001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18.8355</v>
      </c>
      <c r="H6" s="171" t="s">
        <v>1</v>
      </c>
      <c r="K6" s="173" t="s">
        <v>10</v>
      </c>
      <c r="L6" s="174"/>
      <c r="M6" s="9">
        <f>B19*M3+M4*B4/1000</f>
        <v>0.83442649999999996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131848500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131.8485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C11" s="1" t="s">
        <v>18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17.140305000000001</v>
      </c>
      <c r="N11" s="79" t="s">
        <v>24</v>
      </c>
      <c r="O11" s="19"/>
      <c r="P11" s="138" t="s">
        <v>0</v>
      </c>
      <c r="Q11" s="139"/>
      <c r="R11" s="20">
        <f>G6*M8</f>
        <v>17.140305000000001</v>
      </c>
      <c r="S11" s="79" t="s">
        <v>24</v>
      </c>
    </row>
    <row r="12" spans="1:19" ht="18" customHeight="1" thickBot="1">
      <c r="A12" s="161" t="s">
        <v>78</v>
      </c>
      <c r="B12" s="162">
        <f>B11*B4</f>
        <v>1883550000</v>
      </c>
      <c r="E12" s="155" t="s">
        <v>83</v>
      </c>
      <c r="F12" s="156"/>
      <c r="G12" s="55">
        <v>0.2</v>
      </c>
      <c r="H12" s="61" t="s">
        <v>1</v>
      </c>
      <c r="J12" s="19"/>
      <c r="K12" s="138" t="s">
        <v>4</v>
      </c>
      <c r="L12" s="139"/>
      <c r="M12" s="20">
        <f>G14*M8</f>
        <v>3.9144171543750002</v>
      </c>
      <c r="N12" s="79" t="s">
        <v>24</v>
      </c>
      <c r="O12" s="19"/>
      <c r="P12" s="138" t="s">
        <v>4</v>
      </c>
      <c r="Q12" s="139"/>
      <c r="R12" s="20">
        <f>G14*M8</f>
        <v>3.9144171543750002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1883550</v>
      </c>
      <c r="E14" s="155" t="s">
        <v>5</v>
      </c>
      <c r="F14" s="156"/>
      <c r="G14" s="159">
        <f>B5*G12+B16*G10</f>
        <v>4.3015573125</v>
      </c>
      <c r="H14" s="160" t="s">
        <v>1</v>
      </c>
      <c r="J14" s="19"/>
      <c r="K14" s="138" t="s">
        <v>15</v>
      </c>
      <c r="L14" s="139"/>
      <c r="M14" s="20">
        <f>M6*M8</f>
        <v>0.75932811499999997</v>
      </c>
      <c r="N14" s="79" t="s">
        <v>24</v>
      </c>
      <c r="O14" s="19"/>
      <c r="P14" s="138" t="s">
        <v>15</v>
      </c>
      <c r="Q14" s="139"/>
      <c r="R14" s="20">
        <f>M6*M8</f>
        <v>0.75932811499999997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235443.75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113.39603360270834</v>
      </c>
      <c r="N17" s="121" t="s">
        <v>24</v>
      </c>
      <c r="O17" s="19"/>
      <c r="P17" s="149" t="s">
        <v>93</v>
      </c>
      <c r="Q17" s="150"/>
      <c r="R17" s="119">
        <f>SUM(R11:R15)</f>
        <v>166.54003360270835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56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54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53">
        <v>0.115</v>
      </c>
      <c r="H24" s="72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E2:H2"/>
    <mergeCell ref="K2:N2"/>
    <mergeCell ref="E3:F3"/>
    <mergeCell ref="K3:L3"/>
    <mergeCell ref="E4:F4"/>
    <mergeCell ref="K4:L4"/>
    <mergeCell ref="E5:H5"/>
    <mergeCell ref="K5:N5"/>
    <mergeCell ref="E6:F7"/>
    <mergeCell ref="G6:G7"/>
    <mergeCell ref="H6:H7"/>
    <mergeCell ref="K6:L6"/>
    <mergeCell ref="E9:H9"/>
    <mergeCell ref="E10:F11"/>
    <mergeCell ref="G10:G11"/>
    <mergeCell ref="H10:H11"/>
    <mergeCell ref="K10:N10"/>
    <mergeCell ref="P10:S10"/>
    <mergeCell ref="K11:L11"/>
    <mergeCell ref="P11:Q11"/>
    <mergeCell ref="E12:F12"/>
    <mergeCell ref="K12:L12"/>
    <mergeCell ref="P12:Q12"/>
    <mergeCell ref="K13:L13"/>
    <mergeCell ref="P13:Q13"/>
    <mergeCell ref="E14:F15"/>
    <mergeCell ref="G14:G15"/>
    <mergeCell ref="H14:H15"/>
    <mergeCell ref="K14:L14"/>
    <mergeCell ref="P14:Q14"/>
    <mergeCell ref="K15:L15"/>
    <mergeCell ref="P15:Q15"/>
    <mergeCell ref="S17:S18"/>
    <mergeCell ref="E18:F19"/>
    <mergeCell ref="G18:G19"/>
    <mergeCell ref="H18:H19"/>
    <mergeCell ref="E20:F20"/>
    <mergeCell ref="E17:H17"/>
    <mergeCell ref="K17:L18"/>
    <mergeCell ref="M17:M18"/>
    <mergeCell ref="N17:N18"/>
    <mergeCell ref="P17:Q18"/>
    <mergeCell ref="R17:R18"/>
    <mergeCell ref="H28:H29"/>
    <mergeCell ref="B16:B17"/>
    <mergeCell ref="B14:B15"/>
    <mergeCell ref="B12:B13"/>
    <mergeCell ref="E23:F23"/>
    <mergeCell ref="E24:F24"/>
    <mergeCell ref="E25:H25"/>
    <mergeCell ref="E26:F27"/>
    <mergeCell ref="G26:G27"/>
    <mergeCell ref="H26:H27"/>
    <mergeCell ref="E21:F22"/>
    <mergeCell ref="G21:G22"/>
    <mergeCell ref="H21:H22"/>
    <mergeCell ref="E13:H13"/>
    <mergeCell ref="A12:A13"/>
    <mergeCell ref="A14:A15"/>
    <mergeCell ref="A16:A17"/>
    <mergeCell ref="E28:F29"/>
    <mergeCell ref="G28:G2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20A8-100D-4706-819F-9709ACE38028}">
  <dimension ref="A1:S32"/>
  <sheetViews>
    <sheetView zoomScaleNormal="100" workbookViewId="0">
      <selection activeCell="B3" sqref="B3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2.28515625" style="1" customWidth="1"/>
    <col min="5" max="5" width="17.7109375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40.5" customHeight="1" thickBot="1">
      <c r="A3" s="86" t="s">
        <v>73</v>
      </c>
      <c r="B3" s="87">
        <f>((Preis!B64*Preis!E64)+(Preis!B65*Preis!E65)+(Preis!B66*Preis!E66))*Preis!B67*Preis!B68/30.5</f>
        <v>150821.31147540986</v>
      </c>
      <c r="E3" s="182" t="s">
        <v>82</v>
      </c>
      <c r="F3" s="183"/>
      <c r="G3" s="57">
        <v>3.7</v>
      </c>
      <c r="H3" s="58" t="s">
        <v>1</v>
      </c>
      <c r="K3" s="188" t="s">
        <v>12</v>
      </c>
      <c r="L3" s="189"/>
      <c r="M3" s="52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4600050.0000000009</v>
      </c>
      <c r="E4" s="190" t="s">
        <v>2</v>
      </c>
      <c r="F4" s="191"/>
      <c r="G4" s="59">
        <v>0.09</v>
      </c>
      <c r="H4" s="60" t="s">
        <v>1</v>
      </c>
      <c r="K4" s="192" t="s">
        <v>84</v>
      </c>
      <c r="L4" s="193"/>
      <c r="M4" s="62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4.6000500000000013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46.000500000000017</v>
      </c>
      <c r="H6" s="171" t="s">
        <v>1</v>
      </c>
      <c r="K6" s="173" t="s">
        <v>10</v>
      </c>
      <c r="L6" s="174"/>
      <c r="M6" s="9">
        <f>B19*M3+M4*B4/1000</f>
        <v>2.0025215000000003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322003500.00000006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322.00350000000009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C11" s="1" t="s">
        <v>18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41.860455000000016</v>
      </c>
      <c r="N11" s="79" t="s">
        <v>24</v>
      </c>
      <c r="O11" s="19"/>
      <c r="P11" s="138" t="s">
        <v>0</v>
      </c>
      <c r="Q11" s="139"/>
      <c r="R11" s="20">
        <f>G6*M8</f>
        <v>41.860455000000016</v>
      </c>
      <c r="S11" s="79" t="s">
        <v>24</v>
      </c>
    </row>
    <row r="12" spans="1:19" ht="18" customHeight="1" thickBot="1">
      <c r="A12" s="161" t="s">
        <v>78</v>
      </c>
      <c r="B12" s="162">
        <f>B11*B4</f>
        <v>4600050000.000001</v>
      </c>
      <c r="E12" s="155" t="s">
        <v>83</v>
      </c>
      <c r="F12" s="156"/>
      <c r="G12" s="55">
        <v>0.2</v>
      </c>
      <c r="H12" s="61" t="s">
        <v>1</v>
      </c>
      <c r="J12" s="19"/>
      <c r="K12" s="138" t="s">
        <v>4</v>
      </c>
      <c r="L12" s="139"/>
      <c r="M12" s="20">
        <f>G14*M8</f>
        <v>9.5598814106250014</v>
      </c>
      <c r="N12" s="79" t="s">
        <v>24</v>
      </c>
      <c r="O12" s="19"/>
      <c r="P12" s="138" t="s">
        <v>4</v>
      </c>
      <c r="Q12" s="139"/>
      <c r="R12" s="20">
        <f>G14*M8</f>
        <v>9.5598814106250014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4600050.0000000009</v>
      </c>
      <c r="E14" s="155" t="s">
        <v>5</v>
      </c>
      <c r="F14" s="156"/>
      <c r="G14" s="159">
        <f>B5*G12+B16*G10</f>
        <v>10.505364187500001</v>
      </c>
      <c r="H14" s="160" t="s">
        <v>1</v>
      </c>
      <c r="J14" s="19"/>
      <c r="K14" s="138" t="s">
        <v>15</v>
      </c>
      <c r="L14" s="139"/>
      <c r="M14" s="20">
        <f>M6*M8</f>
        <v>1.8222945650000004</v>
      </c>
      <c r="N14" s="79" t="s">
        <v>24</v>
      </c>
      <c r="O14" s="19"/>
      <c r="P14" s="138" t="s">
        <v>15</v>
      </c>
      <c r="Q14" s="139"/>
      <c r="R14" s="20">
        <f>M6*M8</f>
        <v>1.8222945650000004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575006.25000000012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144.82461430895836</v>
      </c>
      <c r="N17" s="121" t="s">
        <v>24</v>
      </c>
      <c r="O17" s="19"/>
      <c r="P17" s="149" t="s">
        <v>93</v>
      </c>
      <c r="Q17" s="150"/>
      <c r="R17" s="119">
        <f>SUM(R11:R15)</f>
        <v>197.96861430895837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56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54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53">
        <v>0.115</v>
      </c>
      <c r="H24" s="72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E2:H2"/>
    <mergeCell ref="K2:N2"/>
    <mergeCell ref="E3:F3"/>
    <mergeCell ref="K3:L3"/>
    <mergeCell ref="E4:F4"/>
    <mergeCell ref="K4:L4"/>
    <mergeCell ref="P10:S10"/>
    <mergeCell ref="K11:L11"/>
    <mergeCell ref="P11:Q11"/>
    <mergeCell ref="E5:H5"/>
    <mergeCell ref="K5:N5"/>
    <mergeCell ref="E6:F7"/>
    <mergeCell ref="G6:G7"/>
    <mergeCell ref="H6:H7"/>
    <mergeCell ref="K6:L6"/>
    <mergeCell ref="E9:H9"/>
    <mergeCell ref="E10:F11"/>
    <mergeCell ref="G10:G11"/>
    <mergeCell ref="H10:H11"/>
    <mergeCell ref="K10:N10"/>
    <mergeCell ref="A12:A13"/>
    <mergeCell ref="B12:B13"/>
    <mergeCell ref="E12:F12"/>
    <mergeCell ref="K12:L12"/>
    <mergeCell ref="P12:Q12"/>
    <mergeCell ref="E13:H13"/>
    <mergeCell ref="K13:L13"/>
    <mergeCell ref="P13:Q13"/>
    <mergeCell ref="P14:Q14"/>
    <mergeCell ref="K15:L15"/>
    <mergeCell ref="P15:Q15"/>
    <mergeCell ref="A16:A17"/>
    <mergeCell ref="B16:B17"/>
    <mergeCell ref="E17:H17"/>
    <mergeCell ref="K17:L18"/>
    <mergeCell ref="M17:M18"/>
    <mergeCell ref="N17:N18"/>
    <mergeCell ref="P17:Q18"/>
    <mergeCell ref="A14:A15"/>
    <mergeCell ref="B14:B15"/>
    <mergeCell ref="E14:F15"/>
    <mergeCell ref="G14:G15"/>
    <mergeCell ref="H14:H15"/>
    <mergeCell ref="K14:L14"/>
    <mergeCell ref="E25:H25"/>
    <mergeCell ref="R17:R18"/>
    <mergeCell ref="S17:S18"/>
    <mergeCell ref="E18:F19"/>
    <mergeCell ref="G18:G19"/>
    <mergeCell ref="H18:H19"/>
    <mergeCell ref="E20:F20"/>
    <mergeCell ref="E21:F22"/>
    <mergeCell ref="G21:G22"/>
    <mergeCell ref="H21:H22"/>
    <mergeCell ref="E23:F23"/>
    <mergeCell ref="E24:F24"/>
    <mergeCell ref="E26:F27"/>
    <mergeCell ref="G26:G27"/>
    <mergeCell ref="H26:H27"/>
    <mergeCell ref="E28:F29"/>
    <mergeCell ref="G28:G29"/>
    <mergeCell ref="H28:H2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442E-3527-4C97-BF46-2BBED6E272FD}">
  <dimension ref="A1:S32"/>
  <sheetViews>
    <sheetView zoomScaleNormal="100" workbookViewId="0">
      <selection activeCell="G14" sqref="G14:G15"/>
    </sheetView>
  </sheetViews>
  <sheetFormatPr baseColWidth="10" defaultColWidth="11.5703125" defaultRowHeight="12"/>
  <cols>
    <col min="1" max="1" width="31.42578125" style="1" customWidth="1"/>
    <col min="2" max="2" width="12.28515625" style="2" customWidth="1"/>
    <col min="3" max="3" width="8.28515625" style="1" customWidth="1"/>
    <col min="4" max="4" width="12.28515625" style="1" customWidth="1"/>
    <col min="5" max="5" width="17.7109375" style="1" customWidth="1"/>
    <col min="6" max="6" width="10.7109375" style="1" customWidth="1"/>
    <col min="7" max="7" width="11.42578125" style="1" customWidth="1"/>
    <col min="8" max="8" width="7.7109375" style="1" customWidth="1"/>
    <col min="9" max="10" width="10.7109375" style="1" customWidth="1"/>
    <col min="11" max="11" width="12.4257812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11.5703125" style="1"/>
    <col min="18" max="19" width="8.85546875" style="1" customWidth="1"/>
    <col min="20" max="16384" width="11.5703125" style="1"/>
  </cols>
  <sheetData>
    <row r="1" spans="1:19" ht="18" customHeight="1" thickBot="1"/>
    <row r="2" spans="1:19" ht="18" customHeight="1" thickBot="1">
      <c r="E2" s="175" t="s">
        <v>0</v>
      </c>
      <c r="F2" s="176"/>
      <c r="G2" s="176"/>
      <c r="H2" s="177"/>
      <c r="K2" s="185" t="s">
        <v>11</v>
      </c>
      <c r="L2" s="186"/>
      <c r="M2" s="186"/>
      <c r="N2" s="187"/>
    </row>
    <row r="3" spans="1:19" ht="40.5" customHeight="1" thickBot="1">
      <c r="A3" s="86" t="s">
        <v>73</v>
      </c>
      <c r="B3" s="87">
        <f>((Preis!B84*Preis!E84)+(Preis!B85*Preis!E85)+(Preis!B86*Preis!E86))*Preis!B87*Preis!B88/30.5</f>
        <v>653518.03278688528</v>
      </c>
      <c r="E3" s="182" t="s">
        <v>82</v>
      </c>
      <c r="F3" s="183"/>
      <c r="G3" s="57">
        <v>3.7</v>
      </c>
      <c r="H3" s="58" t="s">
        <v>1</v>
      </c>
      <c r="K3" s="188" t="s">
        <v>12</v>
      </c>
      <c r="L3" s="189"/>
      <c r="M3" s="52">
        <v>2.4500000000000001E-2</v>
      </c>
      <c r="N3" s="6" t="s">
        <v>1</v>
      </c>
    </row>
    <row r="4" spans="1:19" ht="18" customHeight="1" thickBot="1">
      <c r="A4" s="92" t="s">
        <v>75</v>
      </c>
      <c r="B4" s="93">
        <f>B3*30.5</f>
        <v>19932300</v>
      </c>
      <c r="E4" s="190" t="s">
        <v>2</v>
      </c>
      <c r="F4" s="191"/>
      <c r="G4" s="59">
        <v>0.09</v>
      </c>
      <c r="H4" s="60" t="s">
        <v>1</v>
      </c>
      <c r="K4" s="192" t="s">
        <v>84</v>
      </c>
      <c r="L4" s="193"/>
      <c r="M4" s="62">
        <v>4.2999999999999999E-4</v>
      </c>
      <c r="N4" s="26" t="s">
        <v>1</v>
      </c>
    </row>
    <row r="5" spans="1:19" ht="18" customHeight="1" thickBot="1">
      <c r="A5" s="94" t="s">
        <v>74</v>
      </c>
      <c r="B5" s="95">
        <f>B4/1000000</f>
        <v>19.932300000000001</v>
      </c>
      <c r="E5" s="116"/>
      <c r="F5" s="117"/>
      <c r="G5" s="117"/>
      <c r="H5" s="118"/>
      <c r="K5" s="116"/>
      <c r="L5" s="117"/>
      <c r="M5" s="117"/>
      <c r="N5" s="118"/>
    </row>
    <row r="6" spans="1:19" ht="18" customHeight="1" thickBot="1">
      <c r="A6" s="83"/>
      <c r="B6" s="83"/>
      <c r="E6" s="166" t="s">
        <v>3</v>
      </c>
      <c r="F6" s="167"/>
      <c r="G6" s="169">
        <f>B5*G3+B9*G4</f>
        <v>199.32300000000001</v>
      </c>
      <c r="H6" s="171" t="s">
        <v>1</v>
      </c>
      <c r="K6" s="173" t="s">
        <v>10</v>
      </c>
      <c r="L6" s="174"/>
      <c r="M6" s="9">
        <f>B19*M3+M4*B4/1000</f>
        <v>8.5953889999999991</v>
      </c>
      <c r="N6" s="10" t="s">
        <v>1</v>
      </c>
    </row>
    <row r="7" spans="1:19" ht="18" customHeight="1" thickBot="1">
      <c r="A7" s="90" t="s">
        <v>17</v>
      </c>
      <c r="B7" s="91">
        <v>70</v>
      </c>
      <c r="C7" s="1" t="s">
        <v>18</v>
      </c>
      <c r="E7" s="157"/>
      <c r="F7" s="168"/>
      <c r="G7" s="170"/>
      <c r="H7" s="172"/>
    </row>
    <row r="8" spans="1:19" ht="18" customHeight="1" thickBot="1">
      <c r="A8" s="92" t="s">
        <v>76</v>
      </c>
      <c r="B8" s="93">
        <f>B4*B7</f>
        <v>1395261000</v>
      </c>
      <c r="J8" s="19"/>
      <c r="K8" s="22" t="s">
        <v>22</v>
      </c>
      <c r="L8" s="23" t="s">
        <v>23</v>
      </c>
      <c r="M8" s="24">
        <v>0.91</v>
      </c>
      <c r="N8" s="80" t="s">
        <v>24</v>
      </c>
      <c r="O8" s="19"/>
    </row>
    <row r="9" spans="1:19" ht="18" customHeight="1" thickBot="1">
      <c r="A9" s="94" t="s">
        <v>77</v>
      </c>
      <c r="B9" s="95">
        <f>B8/1000000</f>
        <v>1395.261</v>
      </c>
      <c r="E9" s="175" t="s">
        <v>4</v>
      </c>
      <c r="F9" s="176"/>
      <c r="G9" s="176"/>
      <c r="H9" s="177"/>
      <c r="J9" s="19"/>
      <c r="K9" s="19"/>
      <c r="L9" s="19"/>
      <c r="M9" s="19"/>
      <c r="N9" s="19"/>
      <c r="O9" s="19"/>
    </row>
    <row r="10" spans="1:19" ht="18" customHeight="1" thickBot="1">
      <c r="A10" s="83"/>
      <c r="B10" s="83"/>
      <c r="E10" s="178" t="s">
        <v>6</v>
      </c>
      <c r="F10" s="179"/>
      <c r="G10" s="182">
        <v>1.6670000000000001E-5</v>
      </c>
      <c r="H10" s="183" t="s">
        <v>1</v>
      </c>
      <c r="J10" s="19"/>
      <c r="K10" s="163" t="s">
        <v>89</v>
      </c>
      <c r="L10" s="164"/>
      <c r="M10" s="164"/>
      <c r="N10" s="165"/>
      <c r="O10" s="19"/>
      <c r="P10" s="163" t="s">
        <v>94</v>
      </c>
      <c r="Q10" s="164"/>
      <c r="R10" s="164"/>
      <c r="S10" s="165"/>
    </row>
    <row r="11" spans="1:19" ht="18" customHeight="1">
      <c r="A11" s="84" t="s">
        <v>16</v>
      </c>
      <c r="B11" s="85">
        <v>1000</v>
      </c>
      <c r="C11" s="1" t="s">
        <v>18</v>
      </c>
      <c r="E11" s="180"/>
      <c r="F11" s="181"/>
      <c r="G11" s="155"/>
      <c r="H11" s="184"/>
      <c r="J11" s="19"/>
      <c r="K11" s="138" t="s">
        <v>0</v>
      </c>
      <c r="L11" s="139"/>
      <c r="M11" s="20">
        <f>G6*M8</f>
        <v>181.38393000000002</v>
      </c>
      <c r="N11" s="79" t="s">
        <v>24</v>
      </c>
      <c r="O11" s="19"/>
      <c r="P11" s="138" t="s">
        <v>0</v>
      </c>
      <c r="Q11" s="139"/>
      <c r="R11" s="20">
        <f>G6*M8</f>
        <v>181.38393000000002</v>
      </c>
      <c r="S11" s="79" t="s">
        <v>24</v>
      </c>
    </row>
    <row r="12" spans="1:19" ht="18" customHeight="1" thickBot="1">
      <c r="A12" s="161" t="s">
        <v>78</v>
      </c>
      <c r="B12" s="162">
        <f>B11*B4</f>
        <v>19932300000</v>
      </c>
      <c r="E12" s="155" t="s">
        <v>83</v>
      </c>
      <c r="F12" s="156"/>
      <c r="G12" s="55">
        <v>0.2</v>
      </c>
      <c r="H12" s="61" t="s">
        <v>1</v>
      </c>
      <c r="J12" s="19"/>
      <c r="K12" s="138" t="s">
        <v>4</v>
      </c>
      <c r="L12" s="139"/>
      <c r="M12" s="20">
        <f>G14*M8</f>
        <v>41.423555013750004</v>
      </c>
      <c r="N12" s="79" t="s">
        <v>24</v>
      </c>
      <c r="O12" s="19"/>
      <c r="P12" s="138" t="s">
        <v>4</v>
      </c>
      <c r="Q12" s="139"/>
      <c r="R12" s="20">
        <f>G14*M8</f>
        <v>41.423555013750004</v>
      </c>
      <c r="S12" s="79" t="s">
        <v>24</v>
      </c>
    </row>
    <row r="13" spans="1:19" ht="18" customHeight="1" thickBot="1">
      <c r="A13" s="153"/>
      <c r="B13" s="154"/>
      <c r="E13" s="116"/>
      <c r="F13" s="117"/>
      <c r="G13" s="117"/>
      <c r="H13" s="118"/>
      <c r="J13" s="19"/>
      <c r="K13" s="138" t="s">
        <v>7</v>
      </c>
      <c r="L13" s="139"/>
      <c r="M13" s="20">
        <f>G26*M8</f>
        <v>53.248650000000005</v>
      </c>
      <c r="N13" s="79" t="s">
        <v>24</v>
      </c>
      <c r="O13" s="19"/>
      <c r="P13" s="138" t="s">
        <v>7</v>
      </c>
      <c r="Q13" s="139"/>
      <c r="R13" s="20">
        <f>G28*M8</f>
        <v>106.39265</v>
      </c>
      <c r="S13" s="79" t="s">
        <v>24</v>
      </c>
    </row>
    <row r="14" spans="1:19" ht="18" customHeight="1">
      <c r="A14" s="142" t="s">
        <v>79</v>
      </c>
      <c r="B14" s="144">
        <f>B12/1000</f>
        <v>19932300</v>
      </c>
      <c r="E14" s="155" t="s">
        <v>5</v>
      </c>
      <c r="F14" s="156"/>
      <c r="G14" s="159">
        <f>B5*G12+B16*G10</f>
        <v>45.520390125000006</v>
      </c>
      <c r="H14" s="160" t="s">
        <v>1</v>
      </c>
      <c r="J14" s="19"/>
      <c r="K14" s="138" t="s">
        <v>15</v>
      </c>
      <c r="L14" s="139"/>
      <c r="M14" s="20">
        <f>M6*M8</f>
        <v>7.8218039899999994</v>
      </c>
      <c r="N14" s="79" t="s">
        <v>24</v>
      </c>
      <c r="O14" s="19"/>
      <c r="P14" s="138" t="s">
        <v>15</v>
      </c>
      <c r="Q14" s="139"/>
      <c r="R14" s="20">
        <f>M6*M8</f>
        <v>7.8218039899999994</v>
      </c>
      <c r="S14" s="79" t="s">
        <v>24</v>
      </c>
    </row>
    <row r="15" spans="1:19" ht="18" customHeight="1" thickBot="1">
      <c r="A15" s="153"/>
      <c r="B15" s="154"/>
      <c r="E15" s="157"/>
      <c r="F15" s="158"/>
      <c r="G15" s="109"/>
      <c r="H15" s="111"/>
      <c r="J15" s="19"/>
      <c r="K15" s="140" t="s">
        <v>92</v>
      </c>
      <c r="L15" s="141"/>
      <c r="M15" s="20">
        <f>B24</f>
        <v>38.333333333333336</v>
      </c>
      <c r="N15" s="79" t="s">
        <v>24</v>
      </c>
      <c r="O15" s="19"/>
      <c r="P15" s="140" t="s">
        <v>92</v>
      </c>
      <c r="Q15" s="141"/>
      <c r="R15" s="20">
        <f>B24</f>
        <v>38.333333333333336</v>
      </c>
      <c r="S15" s="79" t="s">
        <v>24</v>
      </c>
    </row>
    <row r="16" spans="1:19" ht="18" customHeight="1" thickBot="1">
      <c r="A16" s="142" t="s">
        <v>80</v>
      </c>
      <c r="B16" s="144">
        <f>B14*128/1024</f>
        <v>2491537.5</v>
      </c>
      <c r="J16" s="19"/>
      <c r="K16" s="27"/>
      <c r="L16" s="21"/>
      <c r="M16" s="21"/>
      <c r="N16" s="28"/>
      <c r="O16" s="19"/>
      <c r="P16" s="27"/>
      <c r="Q16" s="21"/>
      <c r="R16" s="21"/>
      <c r="S16" s="28"/>
    </row>
    <row r="17" spans="1:19" ht="18" customHeight="1" thickBot="1">
      <c r="A17" s="143"/>
      <c r="B17" s="145"/>
      <c r="E17" s="146" t="s">
        <v>7</v>
      </c>
      <c r="F17" s="147"/>
      <c r="G17" s="147"/>
      <c r="H17" s="148"/>
      <c r="J17" s="19"/>
      <c r="K17" s="149" t="s">
        <v>93</v>
      </c>
      <c r="L17" s="150"/>
      <c r="M17" s="119">
        <f>SUM(M11:M15)</f>
        <v>322.2112723370833</v>
      </c>
      <c r="N17" s="121" t="s">
        <v>24</v>
      </c>
      <c r="O17" s="19"/>
      <c r="P17" s="149" t="s">
        <v>93</v>
      </c>
      <c r="Q17" s="150"/>
      <c r="R17" s="119">
        <f>SUM(R11:R15)</f>
        <v>375.35527233708331</v>
      </c>
      <c r="S17" s="121" t="s">
        <v>24</v>
      </c>
    </row>
    <row r="18" spans="1:19" ht="18" customHeight="1" thickBot="1">
      <c r="A18" s="86" t="s">
        <v>13</v>
      </c>
      <c r="B18" s="87">
        <v>1</v>
      </c>
      <c r="C18" s="1" t="s">
        <v>18</v>
      </c>
      <c r="E18" s="123" t="s">
        <v>25</v>
      </c>
      <c r="F18" s="124"/>
      <c r="G18" s="124">
        <v>0.08</v>
      </c>
      <c r="H18" s="127" t="s">
        <v>1</v>
      </c>
      <c r="J18" s="19"/>
      <c r="K18" s="151"/>
      <c r="L18" s="152"/>
      <c r="M18" s="120"/>
      <c r="N18" s="122"/>
      <c r="O18" s="19"/>
      <c r="P18" s="151"/>
      <c r="Q18" s="152"/>
      <c r="R18" s="120"/>
      <c r="S18" s="122"/>
    </row>
    <row r="19" spans="1:19" ht="18" customHeight="1" thickBot="1">
      <c r="A19" s="88" t="s">
        <v>14</v>
      </c>
      <c r="B19" s="89">
        <v>1</v>
      </c>
      <c r="C19" s="1" t="s">
        <v>18</v>
      </c>
      <c r="E19" s="125"/>
      <c r="F19" s="126"/>
      <c r="G19" s="126"/>
      <c r="H19" s="128"/>
      <c r="J19" s="19"/>
      <c r="K19" s="73"/>
      <c r="L19" s="74"/>
      <c r="M19" s="75"/>
      <c r="N19" s="74"/>
      <c r="O19" s="19"/>
    </row>
    <row r="20" spans="1:19" ht="18" customHeight="1" thickBot="1">
      <c r="A20" s="83"/>
      <c r="B20" s="83"/>
      <c r="E20" s="129" t="s">
        <v>8</v>
      </c>
      <c r="F20" s="130"/>
      <c r="G20" s="56">
        <f>(G18*730)</f>
        <v>58.4</v>
      </c>
      <c r="H20" s="14" t="s">
        <v>1</v>
      </c>
      <c r="J20" s="19"/>
    </row>
    <row r="21" spans="1:19" ht="18" customHeight="1">
      <c r="A21" s="96" t="s">
        <v>19</v>
      </c>
      <c r="B21" s="97">
        <v>10</v>
      </c>
      <c r="E21" s="131" t="s">
        <v>26</v>
      </c>
      <c r="F21" s="132"/>
      <c r="G21" s="132">
        <v>0.16</v>
      </c>
      <c r="H21" s="134" t="s">
        <v>1</v>
      </c>
      <c r="J21" s="19"/>
    </row>
    <row r="22" spans="1:19" ht="18" customHeight="1">
      <c r="A22" s="98" t="s">
        <v>20</v>
      </c>
      <c r="B22" s="99">
        <v>220</v>
      </c>
      <c r="E22" s="133"/>
      <c r="F22" s="132"/>
      <c r="G22" s="132"/>
      <c r="H22" s="135"/>
      <c r="J22" s="19"/>
    </row>
    <row r="23" spans="1:19" ht="18" customHeight="1" thickBot="1">
      <c r="A23" s="100" t="s">
        <v>81</v>
      </c>
      <c r="B23" s="101">
        <v>2</v>
      </c>
      <c r="C23" s="1" t="s">
        <v>18</v>
      </c>
      <c r="E23" s="136" t="s">
        <v>8</v>
      </c>
      <c r="F23" s="137"/>
      <c r="G23" s="54">
        <f>G21*730</f>
        <v>116.8</v>
      </c>
      <c r="H23" s="17" t="s">
        <v>1</v>
      </c>
      <c r="J23" s="19"/>
    </row>
    <row r="24" spans="1:19" ht="18" customHeight="1" thickBot="1">
      <c r="A24" s="102" t="s">
        <v>21</v>
      </c>
      <c r="B24" s="103">
        <f>SUM(B21:B22)*B23/12</f>
        <v>38.333333333333336</v>
      </c>
      <c r="E24" s="133" t="s">
        <v>9</v>
      </c>
      <c r="F24" s="132"/>
      <c r="G24" s="53">
        <v>0.115</v>
      </c>
      <c r="H24" s="72" t="s">
        <v>1</v>
      </c>
    </row>
    <row r="25" spans="1:19" ht="18" customHeight="1" thickBot="1">
      <c r="E25" s="116"/>
      <c r="F25" s="117"/>
      <c r="G25" s="117"/>
      <c r="H25" s="118"/>
    </row>
    <row r="26" spans="1:19" ht="18" customHeight="1">
      <c r="E26" s="104" t="s">
        <v>27</v>
      </c>
      <c r="F26" s="105"/>
      <c r="G26" s="108">
        <f>B18*G24+G20</f>
        <v>58.515000000000001</v>
      </c>
      <c r="H26" s="110" t="s">
        <v>1</v>
      </c>
    </row>
    <row r="27" spans="1:19" ht="18" customHeight="1" thickBot="1">
      <c r="E27" s="106"/>
      <c r="F27" s="107"/>
      <c r="G27" s="109"/>
      <c r="H27" s="111"/>
    </row>
    <row r="28" spans="1:19" ht="12.75" customHeight="1">
      <c r="E28" s="112" t="s">
        <v>28</v>
      </c>
      <c r="F28" s="113"/>
      <c r="G28" s="108">
        <f>G23+B18*G24</f>
        <v>116.91499999999999</v>
      </c>
      <c r="H28" s="110" t="s">
        <v>1</v>
      </c>
    </row>
    <row r="29" spans="1:19" ht="18" customHeight="1" thickBot="1">
      <c r="E29" s="114"/>
      <c r="F29" s="115"/>
      <c r="G29" s="109"/>
      <c r="H29" s="111"/>
    </row>
    <row r="30" spans="1:19" ht="18" customHeight="1"/>
    <row r="31" spans="1:19" ht="19.5" customHeight="1"/>
    <row r="32" spans="1:19" ht="22.5" customHeight="1"/>
  </sheetData>
  <mergeCells count="62">
    <mergeCell ref="E2:H2"/>
    <mergeCell ref="K2:N2"/>
    <mergeCell ref="E3:F3"/>
    <mergeCell ref="K3:L3"/>
    <mergeCell ref="E4:F4"/>
    <mergeCell ref="K4:L4"/>
    <mergeCell ref="P10:S10"/>
    <mergeCell ref="K11:L11"/>
    <mergeCell ref="P11:Q11"/>
    <mergeCell ref="E5:H5"/>
    <mergeCell ref="K5:N5"/>
    <mergeCell ref="E6:F7"/>
    <mergeCell ref="G6:G7"/>
    <mergeCell ref="H6:H7"/>
    <mergeCell ref="K6:L6"/>
    <mergeCell ref="E9:H9"/>
    <mergeCell ref="E10:F11"/>
    <mergeCell ref="G10:G11"/>
    <mergeCell ref="H10:H11"/>
    <mergeCell ref="K10:N10"/>
    <mergeCell ref="A12:A13"/>
    <mergeCell ref="B12:B13"/>
    <mergeCell ref="E12:F12"/>
    <mergeCell ref="K12:L12"/>
    <mergeCell ref="P12:Q12"/>
    <mergeCell ref="E13:H13"/>
    <mergeCell ref="K13:L13"/>
    <mergeCell ref="P13:Q13"/>
    <mergeCell ref="P14:Q14"/>
    <mergeCell ref="K15:L15"/>
    <mergeCell ref="P15:Q15"/>
    <mergeCell ref="A16:A17"/>
    <mergeCell ref="B16:B17"/>
    <mergeCell ref="E17:H17"/>
    <mergeCell ref="K17:L18"/>
    <mergeCell ref="M17:M18"/>
    <mergeCell ref="N17:N18"/>
    <mergeCell ref="P17:Q18"/>
    <mergeCell ref="A14:A15"/>
    <mergeCell ref="B14:B15"/>
    <mergeCell ref="E14:F15"/>
    <mergeCell ref="G14:G15"/>
    <mergeCell ref="H14:H15"/>
    <mergeCell ref="K14:L14"/>
    <mergeCell ref="E25:H25"/>
    <mergeCell ref="R17:R18"/>
    <mergeCell ref="S17:S18"/>
    <mergeCell ref="E18:F19"/>
    <mergeCell ref="G18:G19"/>
    <mergeCell ref="H18:H19"/>
    <mergeCell ref="E20:F20"/>
    <mergeCell ref="E21:F22"/>
    <mergeCell ref="G21:G22"/>
    <mergeCell ref="H21:H22"/>
    <mergeCell ref="E23:F23"/>
    <mergeCell ref="E24:F24"/>
    <mergeCell ref="E26:F27"/>
    <mergeCell ref="G26:G27"/>
    <mergeCell ref="H26:H27"/>
    <mergeCell ref="E28:F29"/>
    <mergeCell ref="G28:G29"/>
    <mergeCell ref="H28:H2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06A8-F982-4227-8E05-CB9E243AF677}">
  <dimension ref="A1:C29"/>
  <sheetViews>
    <sheetView workbookViewId="0">
      <selection activeCell="E26" sqref="E26"/>
    </sheetView>
  </sheetViews>
  <sheetFormatPr baseColWidth="10" defaultRowHeight="15"/>
  <cols>
    <col min="1" max="1" width="18.140625" style="30" bestFit="1" customWidth="1"/>
    <col min="2" max="2" width="26" style="30" bestFit="1" customWidth="1"/>
    <col min="3" max="3" width="28.28515625" style="30" bestFit="1" customWidth="1"/>
  </cols>
  <sheetData>
    <row r="1" spans="1:3">
      <c r="A1" s="32" t="s">
        <v>101</v>
      </c>
      <c r="B1" s="32" t="s">
        <v>37</v>
      </c>
      <c r="C1" s="32" t="s">
        <v>38</v>
      </c>
    </row>
    <row r="2" spans="1:3">
      <c r="A2" s="33" t="s">
        <v>39</v>
      </c>
      <c r="B2" s="34">
        <v>53000</v>
      </c>
      <c r="C2" s="34">
        <v>14000</v>
      </c>
    </row>
    <row r="3" spans="1:3">
      <c r="A3" s="33" t="s">
        <v>40</v>
      </c>
      <c r="B3" s="34">
        <v>125000</v>
      </c>
      <c r="C3" s="34">
        <v>28000</v>
      </c>
    </row>
    <row r="4" spans="1:3">
      <c r="A4" s="33" t="s">
        <v>41</v>
      </c>
      <c r="B4" s="34">
        <v>163000</v>
      </c>
      <c r="C4" s="34">
        <v>37000</v>
      </c>
    </row>
    <row r="5" spans="1:3">
      <c r="A5" s="33" t="s">
        <v>42</v>
      </c>
      <c r="B5" s="34">
        <v>300000</v>
      </c>
      <c r="C5" s="34">
        <v>75000</v>
      </c>
    </row>
    <row r="6" spans="1:3">
      <c r="A6" s="33" t="s">
        <v>43</v>
      </c>
      <c r="B6" s="34">
        <v>720000</v>
      </c>
      <c r="C6" s="34">
        <v>160000</v>
      </c>
    </row>
    <row r="7" spans="1:3">
      <c r="A7" s="33" t="s">
        <v>44</v>
      </c>
      <c r="B7" s="34">
        <v>812000</v>
      </c>
      <c r="C7" s="34">
        <v>150000</v>
      </c>
    </row>
    <row r="8" spans="1:3">
      <c r="A8" s="33" t="s">
        <v>45</v>
      </c>
      <c r="B8" s="34">
        <v>1493000</v>
      </c>
      <c r="C8" s="34">
        <v>300000</v>
      </c>
    </row>
    <row r="9" spans="1:3">
      <c r="A9" s="33" t="s">
        <v>46</v>
      </c>
      <c r="B9" s="34">
        <v>1960000</v>
      </c>
      <c r="C9" s="34">
        <v>450000</v>
      </c>
    </row>
    <row r="10" spans="1:3">
      <c r="A10" s="33" t="s">
        <v>47</v>
      </c>
      <c r="B10" s="34">
        <v>2640000</v>
      </c>
      <c r="C10" s="34">
        <v>460000</v>
      </c>
    </row>
    <row r="11" spans="1:3">
      <c r="A11" s="33" t="s">
        <v>48</v>
      </c>
      <c r="B11" s="34">
        <v>2906000</v>
      </c>
      <c r="C11" s="34">
        <v>550000</v>
      </c>
    </row>
    <row r="12" spans="1:3">
      <c r="A12" s="33" t="s">
        <v>49</v>
      </c>
      <c r="B12" s="34">
        <v>3014000</v>
      </c>
      <c r="C12" s="34">
        <v>400000</v>
      </c>
    </row>
    <row r="13" spans="1:3">
      <c r="A13" s="33" t="s">
        <v>50</v>
      </c>
      <c r="B13" s="34">
        <v>3119000</v>
      </c>
      <c r="C13" s="34">
        <v>600000</v>
      </c>
    </row>
    <row r="14" spans="1:3">
      <c r="A14" s="33" t="s">
        <v>51</v>
      </c>
      <c r="B14" s="34">
        <v>3290000</v>
      </c>
      <c r="C14" s="34">
        <v>520000</v>
      </c>
    </row>
    <row r="15" spans="1:3">
      <c r="A15" s="33" t="s">
        <v>52</v>
      </c>
      <c r="B15" s="34">
        <v>3940000</v>
      </c>
      <c r="C15" s="34">
        <v>750000</v>
      </c>
    </row>
    <row r="16" spans="1:3">
      <c r="A16" s="33" t="s">
        <v>53</v>
      </c>
      <c r="B16" s="34">
        <v>4255000</v>
      </c>
      <c r="C16" s="34">
        <v>840000</v>
      </c>
    </row>
    <row r="17" spans="1:3">
      <c r="A17" s="33" t="s">
        <v>54</v>
      </c>
      <c r="B17" s="34">
        <v>4385000</v>
      </c>
      <c r="C17" s="34">
        <v>950000</v>
      </c>
    </row>
    <row r="18" spans="1:3">
      <c r="A18" s="33" t="s">
        <v>55</v>
      </c>
      <c r="B18" s="34">
        <v>5200000</v>
      </c>
      <c r="C18" s="34">
        <v>730000</v>
      </c>
    </row>
    <row r="19" spans="1:3">
      <c r="A19" s="33" t="s">
        <v>56</v>
      </c>
      <c r="B19" s="34">
        <v>5270000</v>
      </c>
      <c r="C19" s="34">
        <v>1000000</v>
      </c>
    </row>
    <row r="20" spans="1:3">
      <c r="A20" s="33" t="s">
        <v>57</v>
      </c>
      <c r="B20" s="34">
        <v>5440000</v>
      </c>
      <c r="C20" s="34">
        <v>900000</v>
      </c>
    </row>
    <row r="21" spans="1:3">
      <c r="A21" s="33" t="s">
        <v>58</v>
      </c>
      <c r="B21" s="34">
        <v>6527000</v>
      </c>
      <c r="C21" s="34">
        <v>1000000</v>
      </c>
    </row>
    <row r="22" spans="1:3">
      <c r="A22" s="33" t="s">
        <v>59</v>
      </c>
      <c r="B22" s="34">
        <v>10700000</v>
      </c>
      <c r="C22" s="34">
        <v>1450000</v>
      </c>
    </row>
    <row r="23" spans="1:3">
      <c r="A23" s="33" t="s">
        <v>60</v>
      </c>
      <c r="B23" s="34">
        <v>13870000</v>
      </c>
      <c r="C23" s="34">
        <v>1800000</v>
      </c>
    </row>
    <row r="24" spans="1:3">
      <c r="A24" s="33" t="s">
        <v>61</v>
      </c>
      <c r="B24" s="34">
        <v>42470000</v>
      </c>
      <c r="C24" s="34">
        <v>5250000</v>
      </c>
    </row>
    <row r="25" spans="1:3">
      <c r="A25" s="29"/>
      <c r="B25" s="31"/>
    </row>
    <row r="29" spans="1:3">
      <c r="A29" s="194" t="s">
        <v>102</v>
      </c>
      <c r="B29" s="194"/>
      <c r="C29" s="194"/>
    </row>
  </sheetData>
  <mergeCells count="1">
    <mergeCell ref="A29:C29"/>
  </mergeCells>
  <conditionalFormatting sqref="B2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D77D-DF30-4543-96AD-7B8169E64FCD}">
  <dimension ref="A1:E21"/>
  <sheetViews>
    <sheetView zoomScale="166" zoomScaleNormal="166" workbookViewId="0">
      <selection activeCell="C19" sqref="C19"/>
    </sheetView>
  </sheetViews>
  <sheetFormatPr baseColWidth="10" defaultRowHeight="15"/>
  <cols>
    <col min="1" max="1" width="47.7109375" bestFit="1" customWidth="1"/>
    <col min="2" max="2" width="12" bestFit="1" customWidth="1"/>
    <col min="3" max="3" width="33.140625" bestFit="1" customWidth="1"/>
    <col min="4" max="4" width="9.42578125" bestFit="1" customWidth="1"/>
  </cols>
  <sheetData>
    <row r="1" spans="1:5" ht="19.5" thickBot="1">
      <c r="A1" s="195" t="s">
        <v>62</v>
      </c>
      <c r="B1" s="196"/>
      <c r="C1" s="196"/>
      <c r="D1" s="197"/>
    </row>
    <row r="2" spans="1:5" ht="15.75" thickBot="1">
      <c r="A2" s="46" t="s">
        <v>63</v>
      </c>
      <c r="B2" s="47" t="s">
        <v>86</v>
      </c>
      <c r="C2" s="47" t="s">
        <v>64</v>
      </c>
      <c r="D2" s="47" t="s">
        <v>65</v>
      </c>
    </row>
    <row r="3" spans="1:5">
      <c r="A3" s="48" t="s">
        <v>66</v>
      </c>
      <c r="B3" s="63">
        <f>SUM(Kunden!C2:C24)/23/3</f>
        <v>266869.5652173913</v>
      </c>
      <c r="C3" s="63">
        <f>B3*0.02*5</f>
        <v>26686.956521739128</v>
      </c>
      <c r="D3" s="63">
        <f>ROUND(C3,-3)</f>
        <v>27000</v>
      </c>
    </row>
    <row r="4" spans="1:5">
      <c r="A4" s="48" t="s">
        <v>85</v>
      </c>
      <c r="B4" s="63">
        <f>SUM(Kunden!C2:C23)/22/3</f>
        <v>199454.54545454544</v>
      </c>
      <c r="C4" s="63">
        <f t="shared" ref="C4:C7" si="0">B4*0.02*5</f>
        <v>19945.454545454544</v>
      </c>
      <c r="D4" s="63">
        <f t="shared" ref="D4:D7" si="1">ROUND(C4,-3)</f>
        <v>20000</v>
      </c>
    </row>
    <row r="5" spans="1:5">
      <c r="A5" s="48" t="s">
        <v>67</v>
      </c>
      <c r="B5" s="63">
        <f>(SUM(Kunden!C20:C24)-Kunden!C20)/5/3</f>
        <v>633333.33333333337</v>
      </c>
      <c r="C5" s="63">
        <f t="shared" si="0"/>
        <v>63333.333333333343</v>
      </c>
      <c r="D5" s="63">
        <f t="shared" si="1"/>
        <v>63000</v>
      </c>
    </row>
    <row r="6" spans="1:5">
      <c r="A6" s="48" t="s">
        <v>88</v>
      </c>
      <c r="B6" s="63">
        <f>SUM(Kunden!C8:C24)/17/3</f>
        <v>351960.78431372548</v>
      </c>
      <c r="C6" s="63">
        <f t="shared" si="0"/>
        <v>35196.078431372545</v>
      </c>
      <c r="D6" s="63">
        <f t="shared" si="1"/>
        <v>35000</v>
      </c>
    </row>
    <row r="7" spans="1:5" ht="15.75" thickBot="1">
      <c r="A7" s="49" t="s">
        <v>68</v>
      </c>
      <c r="B7" s="65">
        <f>SUM(Kunden!C2:C7)/6/3</f>
        <v>25777.777777777777</v>
      </c>
      <c r="C7" s="65">
        <f t="shared" si="0"/>
        <v>2577.7777777777778</v>
      </c>
      <c r="D7" s="65">
        <f t="shared" si="1"/>
        <v>3000</v>
      </c>
    </row>
    <row r="8" spans="1:5" ht="15.75" thickBot="1"/>
    <row r="9" spans="1:5" ht="19.5" thickBot="1">
      <c r="A9" s="195" t="s">
        <v>69</v>
      </c>
      <c r="B9" s="196"/>
      <c r="C9" s="196"/>
      <c r="D9" s="197"/>
    </row>
    <row r="10" spans="1:5" ht="15.75" thickBot="1">
      <c r="A10" s="46" t="s">
        <v>63</v>
      </c>
      <c r="B10" s="47" t="s">
        <v>86</v>
      </c>
      <c r="C10" s="47" t="s">
        <v>64</v>
      </c>
      <c r="D10" s="47" t="s">
        <v>65</v>
      </c>
    </row>
    <row r="11" spans="1:5">
      <c r="A11" s="48" t="s">
        <v>66</v>
      </c>
      <c r="B11" s="63">
        <f>SUM(Kunden!B2:B24)/23/3</f>
        <v>1777565.2173913044</v>
      </c>
      <c r="C11" s="63">
        <f>B11*0.02*5</f>
        <v>177756.52173913043</v>
      </c>
      <c r="D11" s="63">
        <f>ROUND(C11,-3)</f>
        <v>178000</v>
      </c>
    </row>
    <row r="12" spans="1:5">
      <c r="A12" s="48" t="s">
        <v>85</v>
      </c>
      <c r="B12" s="63">
        <f>SUM(Kunden!B2:B23)/22/3</f>
        <v>1214878.7878787878</v>
      </c>
      <c r="C12" s="63">
        <f t="shared" ref="C12:C15" si="2">B12*0.02*5</f>
        <v>121487.87878787878</v>
      </c>
      <c r="D12" s="63">
        <f t="shared" ref="D12:D15" si="3">ROUND(C12,-3)</f>
        <v>121000</v>
      </c>
    </row>
    <row r="13" spans="1:5">
      <c r="A13" s="48" t="s">
        <v>70</v>
      </c>
      <c r="B13" s="63">
        <f>SUM(Kunden!B18:B24)/7/3</f>
        <v>4260809.5238095233</v>
      </c>
      <c r="C13" s="63">
        <f t="shared" si="2"/>
        <v>426080.95238095237</v>
      </c>
      <c r="D13" s="63">
        <f t="shared" si="3"/>
        <v>426000</v>
      </c>
    </row>
    <row r="14" spans="1:5">
      <c r="A14" s="48" t="s">
        <v>67</v>
      </c>
      <c r="B14" s="63">
        <f>SUM(Kunden!B8:B24)/17/3</f>
        <v>2362333.3333333335</v>
      </c>
      <c r="C14" s="63">
        <f t="shared" si="2"/>
        <v>236233.33333333337</v>
      </c>
      <c r="D14" s="63">
        <f t="shared" si="3"/>
        <v>236000</v>
      </c>
      <c r="E14" s="64"/>
    </row>
    <row r="15" spans="1:5" ht="15.75" thickBot="1">
      <c r="A15" s="49" t="s">
        <v>71</v>
      </c>
      <c r="B15" s="65">
        <f>SUM(Kunden!B2:B7)/6/3</f>
        <v>120722.22222222223</v>
      </c>
      <c r="C15" s="65">
        <f t="shared" si="2"/>
        <v>12072.222222222224</v>
      </c>
      <c r="D15" s="65">
        <f t="shared" si="3"/>
        <v>12000</v>
      </c>
    </row>
    <row r="19" spans="1:1">
      <c r="A19" s="68" t="s">
        <v>72</v>
      </c>
    </row>
    <row r="20" spans="1:1">
      <c r="A20" s="68" t="s">
        <v>87</v>
      </c>
    </row>
    <row r="21" spans="1:1">
      <c r="A21" s="66"/>
    </row>
  </sheetData>
  <mergeCells count="2">
    <mergeCell ref="A9:D9"/>
    <mergeCell ref="A1:D1"/>
  </mergeCells>
  <pageMargins left="0.7" right="0.7" top="0.78740157499999996" bottom="0.78740157499999996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7DC8-5390-4D67-A0A4-DFA499787310}">
  <dimension ref="A1:K99"/>
  <sheetViews>
    <sheetView tabSelected="1" zoomScale="73" zoomScaleNormal="73" workbookViewId="0">
      <selection activeCell="B95" sqref="B95"/>
    </sheetView>
  </sheetViews>
  <sheetFormatPr baseColWidth="10" defaultRowHeight="15"/>
  <cols>
    <col min="1" max="1" width="33.85546875" customWidth="1"/>
    <col min="2" max="2" width="15.140625" customWidth="1"/>
    <col min="4" max="4" width="61.7109375" customWidth="1"/>
    <col min="5" max="5" width="15.140625" customWidth="1"/>
    <col min="7" max="7" width="32.42578125" customWidth="1"/>
    <col min="8" max="8" width="28" customWidth="1"/>
    <col min="10" max="10" width="57.7109375" customWidth="1"/>
    <col min="11" max="11" width="17.42578125" customWidth="1"/>
  </cols>
  <sheetData>
    <row r="1" spans="1:11" ht="19.5" thickBot="1">
      <c r="A1" s="195" t="s">
        <v>99</v>
      </c>
      <c r="B1" s="197"/>
      <c r="G1" s="195" t="s">
        <v>104</v>
      </c>
      <c r="H1" s="197"/>
    </row>
    <row r="2" spans="1:11" ht="18" thickBot="1">
      <c r="A2" s="199" t="s">
        <v>29</v>
      </c>
      <c r="B2" s="200"/>
      <c r="D2" s="47" t="s">
        <v>30</v>
      </c>
      <c r="E2" s="47" t="s">
        <v>31</v>
      </c>
      <c r="G2" s="199" t="s">
        <v>29</v>
      </c>
      <c r="H2" s="200"/>
      <c r="J2" s="47" t="s">
        <v>30</v>
      </c>
      <c r="K2" s="47" t="s">
        <v>31</v>
      </c>
    </row>
    <row r="3" spans="1:11" ht="15.75" thickBot="1">
      <c r="A3" s="43" t="s">
        <v>32</v>
      </c>
      <c r="B3" s="41">
        <f>IF(E2="db.t3.medium",'Kosten Szenario 1'!M17,IF(E2="db.t3.large",'Kosten Szenario 1'!R17,0))+(IF(E2="db.t3.medium",'Kosten Szenario 1'!M13,IF(E2="db.t3.large",'Kosten Szenario 1'!R13,0)))*(E3-1)</f>
        <v>91.856262315583336</v>
      </c>
      <c r="D3" s="47" t="s">
        <v>113</v>
      </c>
      <c r="E3" s="47">
        <v>1</v>
      </c>
      <c r="G3" s="202" t="s">
        <v>32</v>
      </c>
      <c r="H3" s="204">
        <f>IF(K2="db.t3.medium",Kosten!M17,IF(K2="db.t3.large",Kosten!R17,0))+(IF(E2="db.t3.medium",Kosten!M13,IF(E2="db.t3.large",Kosten!R13,0)))*(K3-1)</f>
        <v>92.310018595833341</v>
      </c>
      <c r="J3" s="47" t="s">
        <v>113</v>
      </c>
      <c r="K3" s="47">
        <v>1</v>
      </c>
    </row>
    <row r="4" spans="1:11" ht="15.75" thickBot="1">
      <c r="A4" s="45" t="s">
        <v>105</v>
      </c>
      <c r="B4" s="35">
        <v>3</v>
      </c>
      <c r="D4" s="67" t="s">
        <v>108</v>
      </c>
      <c r="E4" s="42">
        <f>ROUND('API-Aufrufe'!B15,-3)</f>
        <v>121000</v>
      </c>
      <c r="G4" s="203" t="s">
        <v>34</v>
      </c>
      <c r="H4" s="205">
        <f>Kosten!B4</f>
        <v>61000</v>
      </c>
    </row>
    <row r="5" spans="1:11" ht="15.75" thickBot="1">
      <c r="A5" s="45" t="s">
        <v>106</v>
      </c>
      <c r="B5" s="35">
        <v>0</v>
      </c>
      <c r="D5" s="70" t="s">
        <v>109</v>
      </c>
      <c r="E5" s="69">
        <f>ROUND('API-Aufrufe'!B14,-3)</f>
        <v>2362000</v>
      </c>
    </row>
    <row r="6" spans="1:11" ht="15.75" thickBot="1">
      <c r="A6" s="45" t="s">
        <v>107</v>
      </c>
      <c r="B6" s="35">
        <v>0</v>
      </c>
      <c r="D6" s="71" t="s">
        <v>110</v>
      </c>
      <c r="E6" s="40">
        <f>ROUND('API-Aufrufe'!B13,-3)</f>
        <v>4261000</v>
      </c>
      <c r="F6" s="81"/>
      <c r="G6" s="43" t="s">
        <v>116</v>
      </c>
      <c r="H6" s="42">
        <f>H3/H4</f>
        <v>1.5132789933743171E-3</v>
      </c>
    </row>
    <row r="7" spans="1:11">
      <c r="A7" s="45" t="s">
        <v>33</v>
      </c>
      <c r="B7" s="76">
        <v>0.02</v>
      </c>
      <c r="G7" s="45" t="s">
        <v>117</v>
      </c>
      <c r="H7" s="38">
        <f>H3/H4*100</f>
        <v>0.15132789933743171</v>
      </c>
    </row>
    <row r="8" spans="1:11" ht="15.75" thickBot="1">
      <c r="A8" s="44" t="s">
        <v>91</v>
      </c>
      <c r="B8" s="77">
        <v>3</v>
      </c>
      <c r="G8" s="45" t="s">
        <v>115</v>
      </c>
      <c r="H8" s="37">
        <f>H6*1000</f>
        <v>1.5132789933743171</v>
      </c>
    </row>
    <row r="9" spans="1:11" ht="15.75" thickBot="1">
      <c r="A9" s="198"/>
      <c r="B9" s="198"/>
      <c r="G9" s="45" t="s">
        <v>112</v>
      </c>
      <c r="H9" s="37">
        <v>1</v>
      </c>
    </row>
    <row r="10" spans="1:11">
      <c r="A10" s="43" t="s">
        <v>34</v>
      </c>
      <c r="B10" s="42">
        <f>(B4*E4*B7*B8)+(B5*E5*B7*B8)+(B6*E6*B7*B8)</f>
        <v>21780</v>
      </c>
      <c r="D10" s="50"/>
      <c r="G10" s="45" t="s">
        <v>95</v>
      </c>
      <c r="H10" s="201">
        <f>H6*H9</f>
        <v>1.5132789933743171E-3</v>
      </c>
    </row>
    <row r="11" spans="1:11">
      <c r="A11" s="45" t="s">
        <v>116</v>
      </c>
      <c r="B11" s="36">
        <f>B3/B10</f>
        <v>4.2174592431397304E-3</v>
      </c>
      <c r="G11" s="45" t="s">
        <v>96</v>
      </c>
      <c r="H11" s="82">
        <f>H10*100</f>
        <v>0.15132789933743171</v>
      </c>
    </row>
    <row r="12" spans="1:11">
      <c r="A12" s="45" t="s">
        <v>117</v>
      </c>
      <c r="B12" s="37">
        <f>B3/B10*100</f>
        <v>0.42174592431397306</v>
      </c>
      <c r="D12" s="51"/>
      <c r="G12" s="45" t="s">
        <v>114</v>
      </c>
      <c r="H12" s="37">
        <f>H10*1000</f>
        <v>1.5132789933743171</v>
      </c>
    </row>
    <row r="13" spans="1:11">
      <c r="A13" s="45" t="s">
        <v>115</v>
      </c>
      <c r="B13" s="38">
        <f>B11*1000</f>
        <v>4.2174592431397304</v>
      </c>
      <c r="D13" s="206"/>
      <c r="G13" s="45" t="s">
        <v>35</v>
      </c>
      <c r="H13" s="38">
        <f>H8+H12</f>
        <v>3.0265579867486343</v>
      </c>
    </row>
    <row r="14" spans="1:11" ht="15.75" thickBot="1">
      <c r="A14" s="45" t="s">
        <v>112</v>
      </c>
      <c r="B14" s="201">
        <v>0</v>
      </c>
      <c r="D14" s="51"/>
      <c r="G14" s="44" t="s">
        <v>36</v>
      </c>
      <c r="H14" s="39">
        <f>(H7+H11)*1000</f>
        <v>302.65579867486343</v>
      </c>
    </row>
    <row r="15" spans="1:11">
      <c r="A15" s="45" t="s">
        <v>95</v>
      </c>
      <c r="B15" s="38">
        <f>B11*B14</f>
        <v>0</v>
      </c>
      <c r="D15" s="51"/>
    </row>
    <row r="16" spans="1:11">
      <c r="A16" s="45" t="s">
        <v>96</v>
      </c>
      <c r="B16" s="38">
        <f>B15*100</f>
        <v>0</v>
      </c>
      <c r="D16" s="51"/>
    </row>
    <row r="17" spans="1:5">
      <c r="A17" s="45" t="s">
        <v>114</v>
      </c>
      <c r="B17" s="38">
        <f>B15*1000</f>
        <v>0</v>
      </c>
      <c r="D17" s="51"/>
    </row>
    <row r="18" spans="1:5">
      <c r="A18" s="45" t="s">
        <v>35</v>
      </c>
      <c r="B18" s="38">
        <f>B13+B17</f>
        <v>4.2174592431397304</v>
      </c>
    </row>
    <row r="19" spans="1:5" ht="15.75" thickBot="1">
      <c r="A19" s="44" t="s">
        <v>36</v>
      </c>
      <c r="B19" s="39">
        <f>(B12+B16)*1000</f>
        <v>421.74592431397309</v>
      </c>
    </row>
    <row r="20" spans="1:5" ht="15.75" thickBot="1">
      <c r="A20" s="198"/>
      <c r="B20" s="198"/>
    </row>
    <row r="21" spans="1:5" ht="19.5" thickBot="1">
      <c r="A21" s="195" t="s">
        <v>98</v>
      </c>
      <c r="B21" s="197"/>
    </row>
    <row r="22" spans="1:5" ht="18" thickBot="1">
      <c r="A22" s="199" t="s">
        <v>29</v>
      </c>
      <c r="B22" s="200"/>
      <c r="D22" s="47" t="s">
        <v>30</v>
      </c>
      <c r="E22" s="47" t="s">
        <v>31</v>
      </c>
    </row>
    <row r="23" spans="1:5" ht="15.75" thickBot="1">
      <c r="A23" s="43" t="s">
        <v>32</v>
      </c>
      <c r="B23" s="41">
        <f>IF(E22="db.t3.medium",'Kosten Szenario 2'!M17,IF(E22="db.t3.large",'Kosten Szenario 2'!R17,0))+(IF(E2="db.t3.medium",'Kosten Szenario 2'!M13,IF(E2="db.t3.large",'Kosten Szenario 2'!R13,0)))*(E23-1)</f>
        <v>148.19431923845835</v>
      </c>
      <c r="D23" s="47" t="s">
        <v>113</v>
      </c>
      <c r="E23" s="47">
        <v>2</v>
      </c>
    </row>
    <row r="24" spans="1:5">
      <c r="A24" s="45" t="s">
        <v>105</v>
      </c>
      <c r="B24" s="35">
        <v>7</v>
      </c>
      <c r="D24" s="67" t="s">
        <v>108</v>
      </c>
      <c r="E24" s="42">
        <f>ROUND('API-Aufrufe'!B15,-3)</f>
        <v>121000</v>
      </c>
    </row>
    <row r="25" spans="1:5">
      <c r="A25" s="45" t="s">
        <v>106</v>
      </c>
      <c r="B25" s="35">
        <v>1</v>
      </c>
      <c r="D25" s="70" t="s">
        <v>111</v>
      </c>
      <c r="E25" s="69">
        <f>ROUND('API-Aufrufe'!B14,-3)</f>
        <v>2362000</v>
      </c>
    </row>
    <row r="26" spans="1:5" ht="15.75" thickBot="1">
      <c r="A26" s="45" t="s">
        <v>107</v>
      </c>
      <c r="B26" s="35">
        <v>0</v>
      </c>
      <c r="D26" s="71" t="s">
        <v>110</v>
      </c>
      <c r="E26" s="40">
        <f>ROUND('API-Aufrufe'!B13,-3)</f>
        <v>4261000</v>
      </c>
    </row>
    <row r="27" spans="1:5">
      <c r="A27" s="45" t="s">
        <v>33</v>
      </c>
      <c r="B27" s="76">
        <v>0.03</v>
      </c>
    </row>
    <row r="28" spans="1:5" ht="15.75" thickBot="1">
      <c r="A28" s="44" t="s">
        <v>91</v>
      </c>
      <c r="B28" s="78">
        <v>3</v>
      </c>
    </row>
    <row r="29" spans="1:5" ht="15.75" thickBot="1">
      <c r="A29" s="198"/>
      <c r="B29" s="198"/>
    </row>
    <row r="30" spans="1:5">
      <c r="A30" s="43" t="s">
        <v>34</v>
      </c>
      <c r="B30" s="42">
        <f>(B24*E4*B27*B28)+(B25*E5*B27*B28)+(B26*E6*B27*B28)</f>
        <v>288810</v>
      </c>
    </row>
    <row r="31" spans="1:5">
      <c r="A31" s="45" t="s">
        <v>116</v>
      </c>
      <c r="B31" s="36">
        <f>B23/B30</f>
        <v>5.1312045718104752E-4</v>
      </c>
    </row>
    <row r="32" spans="1:5">
      <c r="A32" s="45" t="s">
        <v>117</v>
      </c>
      <c r="B32" s="37">
        <f>B23/B30*100</f>
        <v>5.131204571810475E-2</v>
      </c>
    </row>
    <row r="33" spans="1:5">
      <c r="A33" s="45" t="s">
        <v>115</v>
      </c>
      <c r="B33" s="37">
        <f>B31*1000</f>
        <v>0.51312045718104748</v>
      </c>
    </row>
    <row r="34" spans="1:5">
      <c r="A34" s="45" t="s">
        <v>112</v>
      </c>
      <c r="B34" s="201">
        <v>1.93</v>
      </c>
    </row>
    <row r="35" spans="1:5">
      <c r="A35" s="45" t="s">
        <v>95</v>
      </c>
      <c r="B35" s="82">
        <f>B31*B34</f>
        <v>9.9032248235942158E-4</v>
      </c>
    </row>
    <row r="36" spans="1:5">
      <c r="A36" s="45" t="s">
        <v>96</v>
      </c>
      <c r="B36" s="37">
        <f>B35*100</f>
        <v>9.9032248235942158E-2</v>
      </c>
    </row>
    <row r="37" spans="1:5">
      <c r="A37" s="45" t="s">
        <v>114</v>
      </c>
      <c r="B37" s="37">
        <f>B35*1000</f>
        <v>0.99032248235942155</v>
      </c>
    </row>
    <row r="38" spans="1:5">
      <c r="A38" s="45" t="s">
        <v>35</v>
      </c>
      <c r="B38" s="38">
        <f>B33+B37</f>
        <v>1.5034429395404691</v>
      </c>
    </row>
    <row r="39" spans="1:5" ht="15.75" thickBot="1">
      <c r="A39" s="44" t="s">
        <v>36</v>
      </c>
      <c r="B39" s="39">
        <f>(B32+B36)*1000</f>
        <v>150.34429395404692</v>
      </c>
    </row>
    <row r="40" spans="1:5" ht="15.75" thickBot="1">
      <c r="A40" s="198"/>
      <c r="B40" s="198"/>
    </row>
    <row r="41" spans="1:5" ht="19.5" thickBot="1">
      <c r="A41" s="195" t="s">
        <v>97</v>
      </c>
      <c r="B41" s="197"/>
    </row>
    <row r="42" spans="1:5" ht="18" thickBot="1">
      <c r="A42" s="199" t="s">
        <v>29</v>
      </c>
      <c r="B42" s="200"/>
      <c r="D42" s="47" t="s">
        <v>30</v>
      </c>
      <c r="E42" s="47" t="s">
        <v>90</v>
      </c>
    </row>
    <row r="43" spans="1:5" ht="15.75" thickBot="1">
      <c r="A43" s="43" t="s">
        <v>32</v>
      </c>
      <c r="B43" s="41">
        <f>IF(E42="db.t3.medium",'Kosten Szenario 3'!M17,IF(E42="db.t3.large",'Kosten Szenario 3'!R17,0))+(IF(E2="db.t3.medium",'Kosten Szenario 3'!M13,IF(E2="db.t3.large",'Kosten Szenario 3'!R13,0)))*(E43-1)</f>
        <v>219.78868360270835</v>
      </c>
      <c r="D43" s="47" t="s">
        <v>113</v>
      </c>
      <c r="E43" s="47">
        <v>2</v>
      </c>
    </row>
    <row r="44" spans="1:5">
      <c r="A44" s="45" t="s">
        <v>105</v>
      </c>
      <c r="B44" s="35">
        <v>10</v>
      </c>
      <c r="D44" s="67" t="s">
        <v>108</v>
      </c>
      <c r="E44" s="42">
        <f>ROUND('API-Aufrufe'!B15,-3)</f>
        <v>121000</v>
      </c>
    </row>
    <row r="45" spans="1:5">
      <c r="A45" s="45" t="s">
        <v>106</v>
      </c>
      <c r="B45" s="35">
        <v>3</v>
      </c>
      <c r="D45" s="70" t="s">
        <v>111</v>
      </c>
      <c r="E45" s="69">
        <f>ROUND('API-Aufrufe'!B14,-3)</f>
        <v>2362000</v>
      </c>
    </row>
    <row r="46" spans="1:5" ht="15.75" thickBot="1">
      <c r="A46" s="45" t="s">
        <v>107</v>
      </c>
      <c r="B46" s="35">
        <v>1</v>
      </c>
      <c r="D46" s="71" t="s">
        <v>110</v>
      </c>
      <c r="E46" s="40">
        <f>ROUND('API-Aufrufe'!B13,-3)</f>
        <v>4261000</v>
      </c>
    </row>
    <row r="47" spans="1:5">
      <c r="A47" s="45" t="s">
        <v>33</v>
      </c>
      <c r="B47" s="76">
        <v>0.05</v>
      </c>
    </row>
    <row r="48" spans="1:5" ht="15.75" thickBot="1">
      <c r="A48" s="44" t="s">
        <v>91</v>
      </c>
      <c r="B48" s="78">
        <v>3</v>
      </c>
    </row>
    <row r="49" spans="1:5" ht="15.75" thickBot="1">
      <c r="A49" s="198"/>
      <c r="B49" s="198"/>
    </row>
    <row r="50" spans="1:5">
      <c r="A50" s="43" t="s">
        <v>34</v>
      </c>
      <c r="B50" s="42">
        <f>(B44*E4*B47*B48)+(B45*E5*B27*B48)+(B46*E6*B27*B48)</f>
        <v>1202730</v>
      </c>
    </row>
    <row r="51" spans="1:5">
      <c r="A51" s="45" t="s">
        <v>116</v>
      </c>
      <c r="B51" s="36">
        <f>B43/B50</f>
        <v>1.8274149942439978E-4</v>
      </c>
    </row>
    <row r="52" spans="1:5">
      <c r="A52" s="45" t="s">
        <v>117</v>
      </c>
      <c r="B52" s="37">
        <f>B43/B50*100</f>
        <v>1.8274149942439977E-2</v>
      </c>
    </row>
    <row r="53" spans="1:5">
      <c r="A53" s="45" t="s">
        <v>115</v>
      </c>
      <c r="B53" s="37">
        <f>B51*1000</f>
        <v>0.18274149942439977</v>
      </c>
    </row>
    <row r="54" spans="1:5">
      <c r="A54" s="45" t="s">
        <v>112</v>
      </c>
      <c r="B54" s="201">
        <v>6.1</v>
      </c>
    </row>
    <row r="55" spans="1:5">
      <c r="A55" s="45" t="s">
        <v>95</v>
      </c>
      <c r="B55" s="82">
        <f>B51*B54</f>
        <v>1.1147231464888386E-3</v>
      </c>
    </row>
    <row r="56" spans="1:5">
      <c r="A56" s="45" t="s">
        <v>96</v>
      </c>
      <c r="B56" s="37">
        <f>B55*100</f>
        <v>0.11147231464888387</v>
      </c>
    </row>
    <row r="57" spans="1:5">
      <c r="A57" s="45" t="s">
        <v>114</v>
      </c>
      <c r="B57" s="37">
        <f>B55*1000</f>
        <v>1.1147231464888385</v>
      </c>
    </row>
    <row r="58" spans="1:5">
      <c r="A58" s="45" t="s">
        <v>35</v>
      </c>
      <c r="B58" s="38">
        <f>B53+B57</f>
        <v>1.2974646459132382</v>
      </c>
    </row>
    <row r="59" spans="1:5" ht="15.75" thickBot="1">
      <c r="A59" s="44" t="s">
        <v>36</v>
      </c>
      <c r="B59" s="39">
        <f>(B52+B56)*1000</f>
        <v>129.74646459132384</v>
      </c>
    </row>
    <row r="60" spans="1:5" ht="15.75" thickBot="1"/>
    <row r="61" spans="1:5" ht="19.5" thickBot="1">
      <c r="A61" s="195" t="s">
        <v>100</v>
      </c>
      <c r="B61" s="197"/>
    </row>
    <row r="62" spans="1:5" ht="18" thickBot="1">
      <c r="A62" s="199" t="s">
        <v>29</v>
      </c>
      <c r="B62" s="200"/>
      <c r="D62" s="47" t="s">
        <v>30</v>
      </c>
      <c r="E62" s="47" t="s">
        <v>90</v>
      </c>
    </row>
    <row r="63" spans="1:5" ht="15.75" thickBot="1">
      <c r="A63" s="43" t="s">
        <v>32</v>
      </c>
      <c r="B63" s="41">
        <f>IF(E62="db.t3.medium",'Kosten Szenario 4'!M17,IF(E62="db.t3.large",'Kosten Szenario 4'!R17,0))+(IF(E2="db.t3.medium",'Kosten Szenario 4'!M13,IF(E2="db.t3.large",'Kosten Szenario 4'!R13,0)))*(E63-1)</f>
        <v>357.71456430895842</v>
      </c>
      <c r="D63" s="47" t="s">
        <v>113</v>
      </c>
      <c r="E63" s="47">
        <v>4</v>
      </c>
    </row>
    <row r="64" spans="1:5">
      <c r="A64" s="45" t="s">
        <v>105</v>
      </c>
      <c r="B64" s="35">
        <v>13</v>
      </c>
      <c r="D64" s="67" t="s">
        <v>108</v>
      </c>
      <c r="E64" s="42">
        <f>ROUND('API-Aufrufe'!B15,-3)</f>
        <v>121000</v>
      </c>
    </row>
    <row r="65" spans="1:5">
      <c r="A65" s="45" t="s">
        <v>106</v>
      </c>
      <c r="B65" s="35">
        <v>5</v>
      </c>
      <c r="D65" s="70" t="s">
        <v>111</v>
      </c>
      <c r="E65" s="69">
        <f>ROUND('API-Aufrufe'!B14,-3)</f>
        <v>2362000</v>
      </c>
    </row>
    <row r="66" spans="1:5" ht="15.75" thickBot="1">
      <c r="A66" s="45" t="s">
        <v>107</v>
      </c>
      <c r="B66" s="35">
        <v>2</v>
      </c>
      <c r="D66" s="71" t="s">
        <v>110</v>
      </c>
      <c r="E66" s="40">
        <f>ROUND('API-Aufrufe'!B13,-3)</f>
        <v>4261000</v>
      </c>
    </row>
    <row r="67" spans="1:5">
      <c r="A67" s="45" t="s">
        <v>33</v>
      </c>
      <c r="B67" s="76">
        <v>7.0000000000000007E-2</v>
      </c>
    </row>
    <row r="68" spans="1:5" ht="15.75" thickBot="1">
      <c r="A68" s="44" t="s">
        <v>91</v>
      </c>
      <c r="B68" s="78">
        <v>3</v>
      </c>
    </row>
    <row r="69" spans="1:5" ht="15.75" thickBot="1">
      <c r="A69" s="198"/>
      <c r="B69" s="198"/>
    </row>
    <row r="70" spans="1:5">
      <c r="A70" s="43" t="s">
        <v>34</v>
      </c>
      <c r="B70" s="42">
        <f>(B64*E24*B67*B68)+(B65*E25*B47*B68)+(B66*E26*B47*B68)</f>
        <v>3380130</v>
      </c>
    </row>
    <row r="71" spans="1:5">
      <c r="A71" s="45" t="s">
        <v>116</v>
      </c>
      <c r="B71" s="36">
        <f>B63/B70</f>
        <v>1.0582864100166515E-4</v>
      </c>
    </row>
    <row r="72" spans="1:5">
      <c r="A72" s="45" t="s">
        <v>117</v>
      </c>
      <c r="B72" s="37">
        <f>B63/B70*100</f>
        <v>1.0582864100166515E-2</v>
      </c>
    </row>
    <row r="73" spans="1:5">
      <c r="A73" s="45" t="s">
        <v>115</v>
      </c>
      <c r="B73" s="37">
        <f>B71*1000</f>
        <v>0.10582864100166516</v>
      </c>
    </row>
    <row r="74" spans="1:5">
      <c r="A74" s="45" t="s">
        <v>112</v>
      </c>
      <c r="B74" s="201">
        <v>11.3</v>
      </c>
    </row>
    <row r="75" spans="1:5">
      <c r="A75" s="45" t="s">
        <v>95</v>
      </c>
      <c r="B75" s="82">
        <f>B71*B74</f>
        <v>1.1958636433188163E-3</v>
      </c>
    </row>
    <row r="76" spans="1:5">
      <c r="A76" s="45" t="s">
        <v>96</v>
      </c>
      <c r="B76" s="37">
        <f>B75*100</f>
        <v>0.11958636433188163</v>
      </c>
    </row>
    <row r="77" spans="1:5">
      <c r="A77" s="45" t="s">
        <v>114</v>
      </c>
      <c r="B77" s="37">
        <f>B75*1000</f>
        <v>1.1958636433188163</v>
      </c>
    </row>
    <row r="78" spans="1:5">
      <c r="A78" s="45" t="s">
        <v>35</v>
      </c>
      <c r="B78" s="38">
        <f>B73+B77</f>
        <v>1.3016922843204815</v>
      </c>
    </row>
    <row r="79" spans="1:5" ht="15.75" thickBot="1">
      <c r="A79" s="44" t="s">
        <v>36</v>
      </c>
      <c r="B79" s="39">
        <f>(B72+B76)*1000</f>
        <v>130.16922843204816</v>
      </c>
    </row>
    <row r="80" spans="1:5" ht="15.75" thickBot="1"/>
    <row r="81" spans="1:5" ht="19.5" thickBot="1">
      <c r="A81" s="195" t="s">
        <v>103</v>
      </c>
      <c r="B81" s="197"/>
    </row>
    <row r="82" spans="1:5" ht="18" thickBot="1">
      <c r="A82" s="199" t="s">
        <v>29</v>
      </c>
      <c r="B82" s="200"/>
      <c r="D82" s="47" t="s">
        <v>30</v>
      </c>
      <c r="E82" s="47" t="s">
        <v>90</v>
      </c>
    </row>
    <row r="83" spans="1:5" ht="15.75" thickBot="1">
      <c r="A83" s="43" t="s">
        <v>32</v>
      </c>
      <c r="B83" s="41">
        <f>IF(E82="db.t3.medium",'Kosten Szenario 5'!M17,IF(E82="db.t3.large",'Kosten Szenario 5'!R17,0))+(IF(E2="db.t3.medium",'Kosten Szenario 5'!M13,IF(E2="db.t3.large",'Kosten Szenario 5'!R13,0)))*(E83-1)</f>
        <v>748.09582233708329</v>
      </c>
      <c r="D83" s="47" t="s">
        <v>113</v>
      </c>
      <c r="E83" s="47">
        <v>8</v>
      </c>
    </row>
    <row r="84" spans="1:5">
      <c r="A84" s="45" t="s">
        <v>105</v>
      </c>
      <c r="B84" s="35">
        <v>30</v>
      </c>
      <c r="D84" s="67" t="s">
        <v>108</v>
      </c>
      <c r="E84" s="42">
        <f>ROUND('API-Aufrufe'!B15,-3)</f>
        <v>121000</v>
      </c>
    </row>
    <row r="85" spans="1:5">
      <c r="A85" s="45" t="s">
        <v>106</v>
      </c>
      <c r="B85" s="35">
        <v>10</v>
      </c>
      <c r="D85" s="70" t="s">
        <v>111</v>
      </c>
      <c r="E85" s="69">
        <f>ROUND('API-Aufrufe'!B14,-3)</f>
        <v>2362000</v>
      </c>
    </row>
    <row r="86" spans="1:5" ht="15.75" thickBot="1">
      <c r="A86" s="45" t="s">
        <v>107</v>
      </c>
      <c r="B86" s="35">
        <v>4</v>
      </c>
      <c r="D86" s="71" t="s">
        <v>110</v>
      </c>
      <c r="E86" s="40">
        <f>ROUND('API-Aufrufe'!B13,-3)</f>
        <v>4261000</v>
      </c>
    </row>
    <row r="87" spans="1:5">
      <c r="A87" s="45" t="s">
        <v>33</v>
      </c>
      <c r="B87" s="76">
        <v>0.15</v>
      </c>
    </row>
    <row r="88" spans="1:5" ht="15.75" thickBot="1">
      <c r="A88" s="44" t="s">
        <v>91</v>
      </c>
      <c r="B88" s="78">
        <v>3</v>
      </c>
    </row>
    <row r="89" spans="1:5" ht="15.75" thickBot="1">
      <c r="A89" s="198"/>
      <c r="B89" s="198"/>
    </row>
    <row r="90" spans="1:5">
      <c r="A90" s="43" t="s">
        <v>34</v>
      </c>
      <c r="B90" s="42">
        <f>(B84*E44*B87*B88)+(B85*E45*B67*B88)+(B86*E46*B67*B88)</f>
        <v>10172940</v>
      </c>
    </row>
    <row r="91" spans="1:5">
      <c r="A91" s="45" t="s">
        <v>116</v>
      </c>
      <c r="B91" s="36">
        <f>B83/B90</f>
        <v>7.3537819188659653E-5</v>
      </c>
    </row>
    <row r="92" spans="1:5">
      <c r="A92" s="45" t="s">
        <v>117</v>
      </c>
      <c r="B92" s="37">
        <f>B83/B90*100</f>
        <v>7.3537819188659653E-3</v>
      </c>
    </row>
    <row r="93" spans="1:5">
      <c r="A93" s="45" t="s">
        <v>115</v>
      </c>
      <c r="B93" s="37">
        <f>B91*1000</f>
        <v>7.3537819188659648E-2</v>
      </c>
    </row>
    <row r="94" spans="1:5">
      <c r="A94" s="45" t="s">
        <v>112</v>
      </c>
      <c r="B94" s="201">
        <v>16.7</v>
      </c>
    </row>
    <row r="95" spans="1:5">
      <c r="A95" s="45" t="s">
        <v>95</v>
      </c>
      <c r="B95" s="82">
        <f>B91*B94</f>
        <v>1.2280815804506162E-3</v>
      </c>
    </row>
    <row r="96" spans="1:5">
      <c r="A96" s="45" t="s">
        <v>96</v>
      </c>
      <c r="B96" s="37">
        <f>B95*100</f>
        <v>0.12280815804506162</v>
      </c>
    </row>
    <row r="97" spans="1:2">
      <c r="A97" s="45" t="s">
        <v>114</v>
      </c>
      <c r="B97" s="37">
        <f>B95*1000</f>
        <v>1.2280815804506162</v>
      </c>
    </row>
    <row r="98" spans="1:2">
      <c r="A98" s="45" t="s">
        <v>35</v>
      </c>
      <c r="B98" s="38">
        <f>B93+B97</f>
        <v>1.301619399639276</v>
      </c>
    </row>
    <row r="99" spans="1:2" ht="15.75" thickBot="1">
      <c r="A99" s="44" t="s">
        <v>36</v>
      </c>
      <c r="B99" s="39">
        <f>(B92+B96)*1000</f>
        <v>130.16193996392758</v>
      </c>
    </row>
  </sheetData>
  <mergeCells count="19">
    <mergeCell ref="A82:B82"/>
    <mergeCell ref="A89:B89"/>
    <mergeCell ref="G1:H1"/>
    <mergeCell ref="G2:H2"/>
    <mergeCell ref="A49:B49"/>
    <mergeCell ref="A9:B9"/>
    <mergeCell ref="A61:B61"/>
    <mergeCell ref="A62:B62"/>
    <mergeCell ref="A69:B69"/>
    <mergeCell ref="A42:B42"/>
    <mergeCell ref="A1:B1"/>
    <mergeCell ref="A2:B2"/>
    <mergeCell ref="A21:B21"/>
    <mergeCell ref="A22:B22"/>
    <mergeCell ref="A41:B41"/>
    <mergeCell ref="A20:B20"/>
    <mergeCell ref="A29:B29"/>
    <mergeCell ref="A40:B40"/>
    <mergeCell ref="A81:B81"/>
  </mergeCells>
  <dataValidations count="1">
    <dataValidation type="list" allowBlank="1" showInputMessage="1" showErrorMessage="1" sqref="E42 E62 E82 E2 E22 K2" xr:uid="{23C1BA7E-620F-425B-A6CB-40BA9E6AAE04}">
      <formula1>"db.t3.medium,db.t3.large"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6650B04-1BCE-42E6-A805-C9A2C78D5E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Preis!B43:B43</xm:f>
              <xm:sqref>D58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Kosten</vt:lpstr>
      <vt:lpstr>Kosten Szenario 1</vt:lpstr>
      <vt:lpstr>Kosten Szenario 2</vt:lpstr>
      <vt:lpstr>Kosten Szenario 3</vt:lpstr>
      <vt:lpstr>Kosten Szenario 4</vt:lpstr>
      <vt:lpstr>Kosten Szenario 5</vt:lpstr>
      <vt:lpstr>Kunden</vt:lpstr>
      <vt:lpstr>API-Aufrufe</vt:lpstr>
      <vt:lpstr>Preis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Caycioglu</dc:creator>
  <cp:lastModifiedBy>Svenja Lang</cp:lastModifiedBy>
  <dcterms:created xsi:type="dcterms:W3CDTF">2020-03-26T20:05:52Z</dcterms:created>
  <dcterms:modified xsi:type="dcterms:W3CDTF">2020-07-07T17:30:57Z</dcterms:modified>
</cp:coreProperties>
</file>